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515" windowHeight="4695" firstSheet="3" activeTab="10"/>
  </bookViews>
  <sheets>
    <sheet name="Project Summary" sheetId="1" r:id="rId1"/>
    <sheet name="Data input" sheetId="2" r:id="rId2"/>
    <sheet name="Capital investment" sheetId="3" r:id="rId3"/>
    <sheet name="Financing " sheetId="4" r:id="rId4"/>
    <sheet name="Depreciation" sheetId="5" r:id="rId5"/>
    <sheet name="Revenue" sheetId="6" r:id="rId6"/>
    <sheet name="Opex" sheetId="7" r:id="rId7"/>
    <sheet name="Reserve acc." sheetId="8" r:id="rId8"/>
    <sheet name="P &amp; L" sheetId="9" r:id="rId9"/>
    <sheet name="Balance sheet" sheetId="10" r:id="rId10"/>
    <sheet name="cashflow" sheetId="11" r:id="rId11"/>
    <sheet name="WACC" sheetId="12" r:id="rId12"/>
    <sheet name="HM" sheetId="13" r:id="rId13"/>
    <sheet name="IRR" sheetId="14" r:id="rId14"/>
    <sheet name="DSCR" sheetId="15" r:id="rId15"/>
  </sheets>
  <definedNames>
    <definedName name="Creditors">'Data input'!$C$55</definedName>
    <definedName name="Debtors">'Data input'!$C$54</definedName>
    <definedName name="Interestrate">'Data input'!$C$49</definedName>
  </definedNames>
  <calcPr fullCalcOnLoad="1"/>
</workbook>
</file>

<file path=xl/sharedStrings.xml><?xml version="1.0" encoding="utf-8"?>
<sst xmlns="http://schemas.openxmlformats.org/spreadsheetml/2006/main" count="269" uniqueCount="185">
  <si>
    <t>Implementation of the Single Window PPP project</t>
  </si>
  <si>
    <t xml:space="preserve">The Government of Malawi recently approved the establishment of an electronic National Single Window (NSW) to simplify and speed up the processing of cross border trade documents in order to improve the country’s competitiveness. This is an automated system that will enable parties involved in trade and transportation to submit standardized information and documents in a single transaction. The current system involves multiple submissions of trade declaration documents to various approving and processing authorities. The Government of Malawi therefore wishes to migrate from stand-alone border processing systems to an integrated National Single Window platform. </t>
  </si>
  <si>
    <t>Economic data</t>
  </si>
  <si>
    <t>Interest rate</t>
  </si>
  <si>
    <t xml:space="preserve">Project currency </t>
  </si>
  <si>
    <t>US $</t>
  </si>
  <si>
    <t>Inflation</t>
  </si>
  <si>
    <t>Project data</t>
  </si>
  <si>
    <t>Year 1</t>
  </si>
  <si>
    <t>Year 2</t>
  </si>
  <si>
    <t>Project Financing</t>
  </si>
  <si>
    <t>Loan</t>
  </si>
  <si>
    <t>Equity</t>
  </si>
  <si>
    <t>Project revenue</t>
  </si>
  <si>
    <t>Project overheads</t>
  </si>
  <si>
    <t>Revenue growth</t>
  </si>
  <si>
    <t>year 1 to 4</t>
  </si>
  <si>
    <t>Year 5 to 10 revenue growth</t>
  </si>
  <si>
    <t>of contractors' revenue</t>
  </si>
  <si>
    <t>Fixed fee</t>
  </si>
  <si>
    <t>Incentive based</t>
  </si>
  <si>
    <t>Tax rate</t>
  </si>
  <si>
    <t>Cost of equity</t>
  </si>
  <si>
    <t>Year</t>
  </si>
  <si>
    <t>Inflation %</t>
  </si>
  <si>
    <t>Interest rate on deposits</t>
  </si>
  <si>
    <t>Repayment commencement</t>
  </si>
  <si>
    <t>Construction period years</t>
  </si>
  <si>
    <t>Project life (years)</t>
  </si>
  <si>
    <t>Reserve Accounts:</t>
  </si>
  <si>
    <t>Debt Service Reserve Account (months)</t>
  </si>
  <si>
    <t>O&amp;M Reserve Account (months)</t>
  </si>
  <si>
    <t>Major Maintenance Reserve Account</t>
  </si>
  <si>
    <t>Net Working Capital Requirements:</t>
  </si>
  <si>
    <t>Accounts Receivable (% of Sales)</t>
  </si>
  <si>
    <t>Inventory (% of Sales)</t>
  </si>
  <si>
    <t>Accounts Payable (% of Routine O&amp;M)</t>
  </si>
  <si>
    <t>Project begins</t>
  </si>
  <si>
    <t>Ending period</t>
  </si>
  <si>
    <t>Beggining period</t>
  </si>
  <si>
    <t>Number of days per year</t>
  </si>
  <si>
    <t>Cummulative</t>
  </si>
  <si>
    <t xml:space="preserve">Single Window Project </t>
  </si>
  <si>
    <t>Office infrastructure</t>
  </si>
  <si>
    <t>Advisory fees</t>
  </si>
  <si>
    <t>Interest</t>
  </si>
  <si>
    <t>Insurance</t>
  </si>
  <si>
    <t>Freight</t>
  </si>
  <si>
    <t>Initial investment Office building year 0</t>
  </si>
  <si>
    <t>Total Investment</t>
  </si>
  <si>
    <t>Financing of the Single Window project</t>
  </si>
  <si>
    <t xml:space="preserve">Year </t>
  </si>
  <si>
    <t>Beginning year</t>
  </si>
  <si>
    <t xml:space="preserve">Equity </t>
  </si>
  <si>
    <t>Total</t>
  </si>
  <si>
    <t>Loan repayment</t>
  </si>
  <si>
    <t>Principle</t>
  </si>
  <si>
    <t>Total repayment</t>
  </si>
  <si>
    <t>Balance</t>
  </si>
  <si>
    <t>Accumulated loan plus capitalised interest</t>
  </si>
  <si>
    <t>Year 6</t>
  </si>
  <si>
    <t>-</t>
  </si>
  <si>
    <t>Replacement capital loan tenure</t>
  </si>
  <si>
    <t xml:space="preserve">Capital Expenditure </t>
  </si>
  <si>
    <t>Total Project Investment</t>
  </si>
  <si>
    <t>Depreciation</t>
  </si>
  <si>
    <t>Office building</t>
  </si>
  <si>
    <t>Office</t>
  </si>
  <si>
    <t>Initial investment ICT savers year 0</t>
  </si>
  <si>
    <t>Computers &amp; software</t>
  </si>
  <si>
    <t>ICT equipment savers</t>
  </si>
  <si>
    <t>ICT infrastructure savers</t>
  </si>
  <si>
    <t>ICT savers</t>
  </si>
  <si>
    <t>Total Depreciation</t>
  </si>
  <si>
    <t>Single Window project</t>
  </si>
  <si>
    <t>O &amp; M expenses</t>
  </si>
  <si>
    <t>Initial Loan tenure (years)</t>
  </si>
  <si>
    <t>Revenue</t>
  </si>
  <si>
    <t>Tax Revenue</t>
  </si>
  <si>
    <t>Exchange rate</t>
  </si>
  <si>
    <t>Other processing fees % of tax revenue</t>
  </si>
  <si>
    <t>Cumulative growth</t>
  </si>
  <si>
    <t>Total Revenue</t>
  </si>
  <si>
    <t>1+ Revenue growth</t>
  </si>
  <si>
    <t>1+ Inflation</t>
  </si>
  <si>
    <t>Concessionnair's share of Revenue</t>
  </si>
  <si>
    <t>Income and Loss Statement</t>
  </si>
  <si>
    <t>Expenses</t>
  </si>
  <si>
    <t>EBT</t>
  </si>
  <si>
    <t>Fixed assets</t>
  </si>
  <si>
    <t>Working capital</t>
  </si>
  <si>
    <t>Current assets</t>
  </si>
  <si>
    <t>Debtors</t>
  </si>
  <si>
    <t>Cash</t>
  </si>
  <si>
    <t>Total current assets</t>
  </si>
  <si>
    <t>Current liabilities</t>
  </si>
  <si>
    <t>Payables</t>
  </si>
  <si>
    <t>Total Current liabilities</t>
  </si>
  <si>
    <t>Net current assets</t>
  </si>
  <si>
    <t>Financed by:</t>
  </si>
  <si>
    <t>Total Capital</t>
  </si>
  <si>
    <t>Assets</t>
  </si>
  <si>
    <t>Gross capital investment</t>
  </si>
  <si>
    <t>Working Capital</t>
  </si>
  <si>
    <t>Debtors % of revenue</t>
  </si>
  <si>
    <t>Creditors % of overheads</t>
  </si>
  <si>
    <t>MRA's share of revenue</t>
  </si>
  <si>
    <t>GoM's share of revenue</t>
  </si>
  <si>
    <t>MRA's share</t>
  </si>
  <si>
    <t>Remittance to GoM</t>
  </si>
  <si>
    <t>EBIT</t>
  </si>
  <si>
    <t>Net Fixed assets</t>
  </si>
  <si>
    <t>Total assets</t>
  </si>
  <si>
    <t>Operating Expenses</t>
  </si>
  <si>
    <t>Reserve accounts</t>
  </si>
  <si>
    <t>Total Operating Expenses</t>
  </si>
  <si>
    <t>Operating reserves</t>
  </si>
  <si>
    <t>Debt Service Reserves</t>
  </si>
  <si>
    <t>Cashflow</t>
  </si>
  <si>
    <t>Single Window Project</t>
  </si>
  <si>
    <t>Interest rate (cost of debt)</t>
  </si>
  <si>
    <t>Transaction fees</t>
  </si>
  <si>
    <t>Interest income</t>
  </si>
  <si>
    <t>Interest Income</t>
  </si>
  <si>
    <t>Retained earnings</t>
  </si>
  <si>
    <t>Revenue reserve</t>
  </si>
  <si>
    <t>Including generators and solar power</t>
  </si>
  <si>
    <t>Cummulative depreciation</t>
  </si>
  <si>
    <t>Acc. Depreciation</t>
  </si>
  <si>
    <t>New Loan year 6</t>
  </si>
  <si>
    <t>Investing cashflow</t>
  </si>
  <si>
    <t>Financing Cashflow</t>
  </si>
  <si>
    <t>Operating Cashflow</t>
  </si>
  <si>
    <t>Net Profit</t>
  </si>
  <si>
    <t>Add Depreciation</t>
  </si>
  <si>
    <t>Change in Debtors</t>
  </si>
  <si>
    <t>Change in Creditors</t>
  </si>
  <si>
    <t>Total Operating Cashflow</t>
  </si>
  <si>
    <t>Total financing Cashflow</t>
  </si>
  <si>
    <t>Opening cash flow</t>
  </si>
  <si>
    <t>Closing cashflow</t>
  </si>
  <si>
    <t>Capitalised interest for year 0</t>
  </si>
  <si>
    <t>Opening cash</t>
  </si>
  <si>
    <t>Total cash available for reserve a/cs</t>
  </si>
  <si>
    <t>Cash required for Debt Service Reserves</t>
  </si>
  <si>
    <t>Cash available after reserves</t>
  </si>
  <si>
    <t>Add Interest expense</t>
  </si>
  <si>
    <t>Debt service interest</t>
  </si>
  <si>
    <t>Debt service Principal</t>
  </si>
  <si>
    <t>Balance Sheet Statement</t>
  </si>
  <si>
    <t>Net Cashflow</t>
  </si>
  <si>
    <t>Calculate Weighted Average Cost of Capital:</t>
  </si>
  <si>
    <t>After-tax Cost of Debt</t>
  </si>
  <si>
    <t>Debt/Equity Ratio</t>
  </si>
  <si>
    <t>Levered Equity Beta</t>
  </si>
  <si>
    <t>Cost of Equity (%)</t>
  </si>
  <si>
    <t>Weighted Average Cost of Capital, WACC</t>
  </si>
  <si>
    <t>Weighted Average Cost of Capital</t>
  </si>
  <si>
    <t>IRR</t>
  </si>
  <si>
    <t>Base Date for Computing NPV and IRR:</t>
  </si>
  <si>
    <t>Equity IRR</t>
  </si>
  <si>
    <t>NPV on Equity Investment</t>
  </si>
  <si>
    <t>WACC</t>
  </si>
  <si>
    <t>Project IRR</t>
  </si>
  <si>
    <t xml:space="preserve">           Project IRR &gt; WACC</t>
  </si>
  <si>
    <t xml:space="preserve">           Project NPV &gt; 0</t>
  </si>
  <si>
    <t>Projects Cashflows</t>
  </si>
  <si>
    <t>Equity cashflows</t>
  </si>
  <si>
    <t>Total Project Cashflows</t>
  </si>
  <si>
    <t>NPV on Project</t>
  </si>
  <si>
    <t>Debt Payment Due</t>
  </si>
  <si>
    <t>Debt Service Coverage Ratio, DSCR</t>
  </si>
  <si>
    <t>Minimum DSCR</t>
  </si>
  <si>
    <t>Average DSCR</t>
  </si>
  <si>
    <t>Calculate Loan Life Cover Ratio, LLCR:</t>
  </si>
  <si>
    <t>Qualifying CFADS</t>
  </si>
  <si>
    <t>NPV (Qualifying CFADS)</t>
  </si>
  <si>
    <t>Loan Balance at start of period</t>
  </si>
  <si>
    <t>Loan Life Coverage Ratio, LLCR</t>
  </si>
  <si>
    <t>Annual tax revenue International Trade</t>
  </si>
  <si>
    <t>Narrative</t>
  </si>
  <si>
    <t>Source</t>
  </si>
  <si>
    <t xml:space="preserve">Average of K4 billion per month </t>
  </si>
  <si>
    <t>MRA July 2014 revenue report</t>
  </si>
  <si>
    <t>MRA Official forex rates July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</si>
</sst>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409]dd\-mmm\-yy;@"/>
    <numFmt numFmtId="166" formatCode="_(* #,##0_);_(* \(#,##0\);_(* &quot;-&quot;??_);_(@_)"/>
    <numFmt numFmtId="167" formatCode="0.0"/>
    <numFmt numFmtId="168" formatCode="m/d/yy;@"/>
  </numFmts>
  <fonts count="48">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sz val="14"/>
      <color indexed="8"/>
      <name val="Calibri"/>
      <family val="2"/>
    </font>
    <font>
      <sz val="16"/>
      <color indexed="8"/>
      <name val="Calibri"/>
      <family val="2"/>
    </font>
    <font>
      <sz val="10"/>
      <color indexed="8"/>
      <name val="Calibri"/>
      <family val="2"/>
    </font>
    <font>
      <sz val="11"/>
      <color indexed="10"/>
      <name val="Calibri"/>
      <family val="2"/>
    </font>
    <font>
      <sz val="11"/>
      <name val="Calibri"/>
      <family val="2"/>
    </font>
    <font>
      <b/>
      <sz val="11"/>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6"/>
      <color theme="1"/>
      <name val="Calibri"/>
      <family val="2"/>
    </font>
    <font>
      <sz val="10"/>
      <color theme="1"/>
      <name val="Calibri"/>
      <family val="2"/>
    </font>
    <font>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Font="1" applyAlignment="1">
      <alignment/>
    </xf>
    <xf numFmtId="49" fontId="43" fillId="33" borderId="0" xfId="0" applyNumberFormat="1" applyFont="1" applyFill="1" applyAlignment="1">
      <alignment wrapText="1"/>
    </xf>
    <xf numFmtId="0" fontId="44" fillId="34" borderId="0" xfId="0" applyFont="1" applyFill="1" applyAlignment="1">
      <alignment/>
    </xf>
    <xf numFmtId="0" fontId="0" fillId="0" borderId="0" xfId="0" applyFont="1" applyAlignment="1">
      <alignment/>
    </xf>
    <xf numFmtId="9" fontId="0" fillId="0" borderId="0" xfId="0" applyNumberFormat="1" applyAlignment="1">
      <alignment/>
    </xf>
    <xf numFmtId="0" fontId="41" fillId="34" borderId="0" xfId="0" applyFont="1" applyFill="1" applyAlignment="1">
      <alignment/>
    </xf>
    <xf numFmtId="38" fontId="0" fillId="0" borderId="0" xfId="0" applyNumberFormat="1" applyAlignment="1">
      <alignment/>
    </xf>
    <xf numFmtId="0" fontId="0" fillId="0" borderId="0" xfId="0" applyAlignment="1">
      <alignment horizontal="center"/>
    </xf>
    <xf numFmtId="0" fontId="0" fillId="34" borderId="0" xfId="0" applyFill="1" applyAlignment="1">
      <alignment/>
    </xf>
    <xf numFmtId="9" fontId="0" fillId="0" borderId="0" xfId="58" applyFont="1" applyAlignment="1">
      <alignment/>
    </xf>
    <xf numFmtId="0" fontId="0" fillId="35" borderId="0" xfId="0" applyFill="1" applyAlignment="1">
      <alignment/>
    </xf>
    <xf numFmtId="0" fontId="0" fillId="35" borderId="0" xfId="0" applyFont="1" applyFill="1" applyAlignment="1">
      <alignment/>
    </xf>
    <xf numFmtId="0" fontId="0" fillId="34" borderId="0" xfId="0" applyFont="1" applyFill="1" applyAlignment="1">
      <alignment/>
    </xf>
    <xf numFmtId="164" fontId="0" fillId="0" borderId="0" xfId="0" applyNumberFormat="1" applyAlignment="1">
      <alignment/>
    </xf>
    <xf numFmtId="1" fontId="0" fillId="0" borderId="0" xfId="0" applyNumberFormat="1" applyAlignment="1">
      <alignment/>
    </xf>
    <xf numFmtId="165" fontId="0" fillId="0" borderId="0" xfId="0" applyNumberFormat="1" applyAlignment="1">
      <alignment/>
    </xf>
    <xf numFmtId="0" fontId="45" fillId="36" borderId="0" xfId="0" applyFont="1" applyFill="1" applyAlignment="1">
      <alignment/>
    </xf>
    <xf numFmtId="0" fontId="0" fillId="36" borderId="0" xfId="0" applyFill="1" applyAlignment="1">
      <alignment/>
    </xf>
    <xf numFmtId="0" fontId="0" fillId="15" borderId="0" xfId="0" applyFill="1" applyAlignment="1">
      <alignment/>
    </xf>
    <xf numFmtId="2" fontId="0" fillId="15" borderId="0" xfId="58" applyNumberFormat="1" applyFont="1" applyFill="1" applyAlignment="1">
      <alignment/>
    </xf>
    <xf numFmtId="2" fontId="0" fillId="15" borderId="0" xfId="0" applyNumberFormat="1" applyFill="1" applyAlignment="1">
      <alignment/>
    </xf>
    <xf numFmtId="164" fontId="41" fillId="15" borderId="0" xfId="0" applyNumberFormat="1" applyFont="1" applyFill="1" applyAlignment="1">
      <alignment/>
    </xf>
    <xf numFmtId="0" fontId="41" fillId="15" borderId="0" xfId="0" applyFont="1" applyFill="1" applyAlignment="1">
      <alignment/>
    </xf>
    <xf numFmtId="0" fontId="0" fillId="0" borderId="0" xfId="0" applyFill="1" applyAlignment="1">
      <alignment/>
    </xf>
    <xf numFmtId="43" fontId="0" fillId="0" borderId="0" xfId="42" applyFont="1" applyAlignment="1">
      <alignment/>
    </xf>
    <xf numFmtId="166" fontId="0" fillId="0" borderId="0" xfId="42" applyNumberFormat="1" applyFont="1" applyAlignment="1">
      <alignment/>
    </xf>
    <xf numFmtId="0" fontId="41" fillId="35" borderId="0" xfId="0" applyFont="1" applyFill="1" applyAlignment="1">
      <alignment/>
    </xf>
    <xf numFmtId="38" fontId="41" fillId="0" borderId="0" xfId="0" applyNumberFormat="1" applyFont="1" applyAlignment="1">
      <alignment/>
    </xf>
    <xf numFmtId="0" fontId="46" fillId="36" borderId="0" xfId="0" applyFont="1" applyFill="1" applyAlignment="1">
      <alignment/>
    </xf>
    <xf numFmtId="38" fontId="0" fillId="0" borderId="0" xfId="0" applyNumberFormat="1" applyFill="1" applyAlignment="1">
      <alignment/>
    </xf>
    <xf numFmtId="0" fontId="47" fillId="15" borderId="0" xfId="0" applyFont="1" applyFill="1" applyAlignment="1">
      <alignment/>
    </xf>
    <xf numFmtId="0" fontId="41" fillId="0" borderId="0" xfId="0" applyFont="1" applyAlignment="1">
      <alignment/>
    </xf>
    <xf numFmtId="166" fontId="41" fillId="0" borderId="0" xfId="42" applyNumberFormat="1" applyFont="1" applyAlignment="1">
      <alignment/>
    </xf>
    <xf numFmtId="0" fontId="41" fillId="0" borderId="0" xfId="0" applyFont="1" applyAlignment="1">
      <alignment horizontal="center"/>
    </xf>
    <xf numFmtId="49" fontId="0" fillId="0" borderId="0" xfId="0" applyNumberFormat="1" applyAlignment="1">
      <alignment wrapText="1"/>
    </xf>
    <xf numFmtId="166" fontId="41" fillId="0" borderId="0" xfId="0" applyNumberFormat="1" applyFont="1" applyAlignment="1">
      <alignment/>
    </xf>
    <xf numFmtId="166" fontId="0" fillId="0" borderId="0" xfId="0" applyNumberFormat="1" applyAlignment="1">
      <alignment/>
    </xf>
    <xf numFmtId="166" fontId="41" fillId="37" borderId="0" xfId="42" applyNumberFormat="1" applyFont="1" applyFill="1" applyAlignment="1">
      <alignment/>
    </xf>
    <xf numFmtId="166" fontId="41" fillId="38" borderId="0" xfId="42" applyNumberFormat="1" applyFont="1" applyFill="1" applyAlignment="1">
      <alignment/>
    </xf>
    <xf numFmtId="2" fontId="0" fillId="0" borderId="0" xfId="0" applyNumberFormat="1" applyAlignment="1">
      <alignment/>
    </xf>
    <xf numFmtId="0" fontId="0" fillId="33" borderId="0" xfId="0" applyFill="1" applyAlignment="1">
      <alignment/>
    </xf>
    <xf numFmtId="2" fontId="0" fillId="33" borderId="0" xfId="0" applyNumberFormat="1" applyFill="1" applyAlignment="1">
      <alignment/>
    </xf>
    <xf numFmtId="0" fontId="0" fillId="39" borderId="0" xfId="0" applyFill="1" applyAlignment="1">
      <alignment/>
    </xf>
    <xf numFmtId="166" fontId="0" fillId="39" borderId="0" xfId="42" applyNumberFormat="1" applyFont="1" applyFill="1" applyAlignment="1">
      <alignment/>
    </xf>
    <xf numFmtId="166" fontId="41" fillId="39" borderId="0" xfId="42" applyNumberFormat="1" applyFont="1" applyFill="1" applyAlignment="1">
      <alignment/>
    </xf>
    <xf numFmtId="166" fontId="0" fillId="36" borderId="0" xfId="0" applyNumberFormat="1" applyFill="1" applyAlignment="1">
      <alignment/>
    </xf>
    <xf numFmtId="43" fontId="0" fillId="0" borderId="0" xfId="0" applyNumberFormat="1" applyAlignment="1">
      <alignment/>
    </xf>
    <xf numFmtId="166" fontId="0" fillId="33" borderId="0" xfId="42" applyNumberFormat="1" applyFont="1" applyFill="1" applyAlignment="1">
      <alignment/>
    </xf>
    <xf numFmtId="0" fontId="41" fillId="38" borderId="0" xfId="0" applyFont="1" applyFill="1" applyAlignment="1">
      <alignment/>
    </xf>
    <xf numFmtId="166" fontId="41" fillId="38" borderId="0" xfId="0" applyNumberFormat="1" applyFont="1" applyFill="1" applyAlignment="1">
      <alignment/>
    </xf>
    <xf numFmtId="164" fontId="41" fillId="0" borderId="0" xfId="0" applyNumberFormat="1" applyFont="1" applyAlignment="1">
      <alignment/>
    </xf>
    <xf numFmtId="0" fontId="44" fillId="0" borderId="0" xfId="0" applyFont="1" applyAlignment="1">
      <alignment/>
    </xf>
    <xf numFmtId="0" fontId="43" fillId="0" borderId="0" xfId="0" applyFont="1" applyAlignment="1">
      <alignment/>
    </xf>
    <xf numFmtId="0" fontId="42" fillId="0" borderId="0" xfId="0" applyFont="1" applyAlignment="1">
      <alignment/>
    </xf>
    <xf numFmtId="166" fontId="42" fillId="0" borderId="0" xfId="0" applyNumberFormat="1" applyFont="1" applyAlignment="1">
      <alignment/>
    </xf>
    <xf numFmtId="167" fontId="0" fillId="0" borderId="0" xfId="0" applyNumberFormat="1" applyAlignment="1">
      <alignment/>
    </xf>
    <xf numFmtId="10" fontId="0" fillId="0" borderId="0" xfId="0" applyNumberFormat="1" applyAlignment="1">
      <alignment/>
    </xf>
    <xf numFmtId="43" fontId="0" fillId="0" borderId="0" xfId="42" applyNumberFormat="1" applyFont="1" applyAlignment="1">
      <alignment/>
    </xf>
    <xf numFmtId="164" fontId="0" fillId="0" borderId="0" xfId="42" applyNumberFormat="1" applyFont="1" applyAlignment="1">
      <alignment/>
    </xf>
    <xf numFmtId="43" fontId="41" fillId="0" borderId="0" xfId="42" applyNumberFormat="1" applyFont="1" applyAlignment="1">
      <alignment/>
    </xf>
    <xf numFmtId="9" fontId="41" fillId="0" borderId="0" xfId="58" applyFont="1" applyAlignment="1">
      <alignment/>
    </xf>
    <xf numFmtId="43" fontId="41" fillId="33" borderId="0" xfId="42" applyNumberFormat="1" applyFont="1" applyFill="1" applyAlignment="1">
      <alignment/>
    </xf>
    <xf numFmtId="43" fontId="0" fillId="33" borderId="0" xfId="42" applyNumberFormat="1" applyFont="1" applyFill="1" applyAlignment="1">
      <alignment/>
    </xf>
    <xf numFmtId="9" fontId="0" fillId="33" borderId="0" xfId="58" applyFont="1" applyFill="1" applyAlignment="1">
      <alignment/>
    </xf>
    <xf numFmtId="43" fontId="0" fillId="37" borderId="0" xfId="42" applyNumberFormat="1" applyFont="1" applyFill="1" applyAlignment="1">
      <alignment/>
    </xf>
    <xf numFmtId="43" fontId="41" fillId="37" borderId="0" xfId="42" applyNumberFormat="1" applyFont="1" applyFill="1" applyAlignment="1">
      <alignment/>
    </xf>
    <xf numFmtId="0" fontId="0" fillId="37" borderId="0" xfId="0" applyFill="1" applyAlignment="1">
      <alignment/>
    </xf>
    <xf numFmtId="0" fontId="41" fillId="37" borderId="0" xfId="0" applyFont="1" applyFill="1" applyAlignment="1">
      <alignment/>
    </xf>
    <xf numFmtId="9" fontId="0" fillId="37" borderId="0" xfId="58" applyFont="1" applyFill="1" applyAlignment="1">
      <alignment/>
    </xf>
    <xf numFmtId="38" fontId="0" fillId="37" borderId="0" xfId="0" applyNumberFormat="1" applyFill="1" applyAlignment="1">
      <alignment/>
    </xf>
    <xf numFmtId="168" fontId="41" fillId="0" borderId="0" xfId="0" applyNumberFormat="1" applyFont="1" applyFill="1" applyAlignment="1">
      <alignment/>
    </xf>
    <xf numFmtId="168" fontId="0" fillId="0" borderId="0" xfId="0" applyNumberFormat="1" applyFont="1" applyFill="1" applyBorder="1" applyAlignment="1">
      <alignment/>
    </xf>
    <xf numFmtId="0" fontId="9" fillId="0" borderId="0" xfId="0" applyFont="1" applyFill="1" applyBorder="1" applyAlignment="1">
      <alignment/>
    </xf>
    <xf numFmtId="0" fontId="10" fillId="38" borderId="0" xfId="0" applyFont="1" applyFill="1" applyBorder="1" applyAlignment="1">
      <alignment/>
    </xf>
    <xf numFmtId="2" fontId="41" fillId="38" borderId="0" xfId="0" applyNumberFormat="1" applyFont="1" applyFill="1" applyBorder="1" applyAlignment="1">
      <alignment horizontal="right"/>
    </xf>
    <xf numFmtId="0" fontId="0" fillId="0" borderId="0" xfId="0" applyFont="1" applyFill="1" applyBorder="1" applyAlignment="1">
      <alignment/>
    </xf>
    <xf numFmtId="0" fontId="35" fillId="34"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amwala/Desktop/IP3%202014/Project%20Finance%20Presentation%20-ICAM%202014%20(2).pptx"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4"/>
  <sheetViews>
    <sheetView zoomScalePageLayoutView="0" workbookViewId="0" topLeftCell="A1">
      <selection activeCell="B2" sqref="B2"/>
    </sheetView>
  </sheetViews>
  <sheetFormatPr defaultColWidth="9.140625" defaultRowHeight="15"/>
  <cols>
    <col min="2" max="2" width="49.8515625" style="0" customWidth="1"/>
  </cols>
  <sheetData>
    <row r="2" ht="15">
      <c r="B2" s="76" t="s">
        <v>0</v>
      </c>
    </row>
    <row r="3" ht="15.75">
      <c r="B3" s="2">
        <v>2014</v>
      </c>
    </row>
    <row r="4" ht="220.5" customHeight="1">
      <c r="B4" s="1" t="s">
        <v>1</v>
      </c>
    </row>
  </sheetData>
  <sheetProtection/>
  <hyperlinks>
    <hyperlink ref="B2" r:id="rId1" display="Implementation of the Single Window PPP project"/>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B1:P29"/>
  <sheetViews>
    <sheetView zoomScalePageLayoutView="0" workbookViewId="0" topLeftCell="B1">
      <pane xSplit="1" ySplit="6" topLeftCell="C13" activePane="bottomRight" state="frozen"/>
      <selection pane="topLeft" activeCell="B1" sqref="B1"/>
      <selection pane="topRight" activeCell="C1" sqref="C1"/>
      <selection pane="bottomLeft" activeCell="B7" sqref="B7"/>
      <selection pane="bottomRight" activeCell="F29" sqref="F29"/>
    </sheetView>
  </sheetViews>
  <sheetFormatPr defaultColWidth="9.140625" defaultRowHeight="15"/>
  <cols>
    <col min="2" max="2" width="21.00390625" style="0" customWidth="1"/>
    <col min="5" max="5" width="11.57421875" style="0" bestFit="1" customWidth="1"/>
    <col min="6" max="6" width="11.28125" style="0" customWidth="1"/>
    <col min="7" max="10" width="12.28125" style="0" bestFit="1" customWidth="1"/>
    <col min="11" max="11" width="12.140625" style="0" customWidth="1"/>
    <col min="12" max="15" width="12.28125" style="0" bestFit="1" customWidth="1"/>
  </cols>
  <sheetData>
    <row r="1" spans="2:15" ht="18.75">
      <c r="B1" s="30" t="s">
        <v>74</v>
      </c>
      <c r="C1" s="30"/>
      <c r="D1" s="30"/>
      <c r="E1" s="18"/>
      <c r="F1" s="18"/>
      <c r="G1" s="18"/>
      <c r="H1" s="18"/>
      <c r="I1" s="18"/>
      <c r="J1" s="18"/>
      <c r="K1" s="18"/>
      <c r="L1" s="18"/>
      <c r="M1" s="18"/>
      <c r="N1" s="18"/>
      <c r="O1" s="18"/>
    </row>
    <row r="2" spans="2:15" ht="18.75">
      <c r="B2" s="30" t="s">
        <v>149</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D4" s="33" t="s">
        <v>54</v>
      </c>
      <c r="E4" s="13">
        <f>'Data input'!$C$13</f>
        <v>42005</v>
      </c>
      <c r="F4" s="13">
        <f>E4+'Data input'!$C$15+1</f>
        <v>42371</v>
      </c>
      <c r="G4" s="13">
        <f>F4+'Data input'!$C$15+1</f>
        <v>42737</v>
      </c>
      <c r="H4" s="13">
        <f>G4+'Data input'!$C$15+1</f>
        <v>43103</v>
      </c>
      <c r="I4" s="13">
        <f>H4+'Data input'!$C$15+1</f>
        <v>43469</v>
      </c>
      <c r="J4" s="13">
        <f>I4+'Data input'!$C$15+1</f>
        <v>43835</v>
      </c>
      <c r="K4" s="13">
        <f>J4+'Data input'!$C$15+1</f>
        <v>44201</v>
      </c>
      <c r="L4" s="13">
        <f>K4+'Data input'!$C$15+1</f>
        <v>44567</v>
      </c>
      <c r="M4" s="13">
        <f>L4+'Data input'!$C$15+1</f>
        <v>44933</v>
      </c>
      <c r="N4" s="13">
        <f>M4+'Data input'!$C$15+1</f>
        <v>45299</v>
      </c>
      <c r="O4" s="13">
        <f>N4+'Data input'!$C$15+1</f>
        <v>45665</v>
      </c>
    </row>
    <row r="5" spans="4:15" ht="15">
      <c r="D5" s="31"/>
      <c r="E5" s="13">
        <f>E4+'Data input'!$C$15-1</f>
        <v>42369</v>
      </c>
      <c r="F5" s="13">
        <f>F4+'Data input'!$C$15-F6</f>
        <v>42735</v>
      </c>
      <c r="G5" s="13">
        <f>G4+'Data input'!$C$15-G6</f>
        <v>43100</v>
      </c>
      <c r="H5" s="13">
        <f>H4+'Data input'!$C$15-H6</f>
        <v>43465</v>
      </c>
      <c r="I5" s="13">
        <f>I4+'Data input'!$C$15-I6</f>
        <v>43830</v>
      </c>
      <c r="J5" s="13">
        <f>J4+'Data input'!$C$15-J6</f>
        <v>44195</v>
      </c>
      <c r="K5" s="13">
        <f>K4+'Data input'!$C$15-K6</f>
        <v>44560</v>
      </c>
      <c r="L5" s="13">
        <f>L4+'Data input'!$C$15-L6</f>
        <v>44925</v>
      </c>
      <c r="M5" s="13">
        <f>M4+'Data input'!$C$15-M6</f>
        <v>45290</v>
      </c>
      <c r="N5" s="13">
        <f>N4+'Data input'!$C$15-N6</f>
        <v>45655</v>
      </c>
      <c r="O5" s="13">
        <f>O4+'Data input'!$C$15-O6</f>
        <v>46020</v>
      </c>
    </row>
    <row r="6" spans="5:15" ht="15">
      <c r="E6">
        <v>0</v>
      </c>
      <c r="F6">
        <v>1</v>
      </c>
      <c r="G6">
        <v>2</v>
      </c>
      <c r="H6">
        <v>3</v>
      </c>
      <c r="I6">
        <v>4</v>
      </c>
      <c r="J6">
        <v>5</v>
      </c>
      <c r="K6">
        <v>6</v>
      </c>
      <c r="L6">
        <v>7</v>
      </c>
      <c r="M6">
        <v>8</v>
      </c>
      <c r="N6">
        <v>9</v>
      </c>
      <c r="O6">
        <v>10</v>
      </c>
    </row>
    <row r="7" ht="15">
      <c r="B7" s="31" t="s">
        <v>101</v>
      </c>
    </row>
    <row r="8" spans="2:15" ht="15">
      <c r="B8" t="s">
        <v>89</v>
      </c>
      <c r="E8" s="6">
        <f>+Depreciation!E7</f>
        <v>20850000</v>
      </c>
      <c r="F8" s="6">
        <f>+Depreciation!F7</f>
        <v>20850000</v>
      </c>
      <c r="G8" s="6">
        <f>+Depreciation!G7</f>
        <v>20850000</v>
      </c>
      <c r="H8" s="6">
        <f>+Depreciation!H7</f>
        <v>20850000</v>
      </c>
      <c r="I8" s="6">
        <f>+Depreciation!I7</f>
        <v>20850000</v>
      </c>
      <c r="J8" s="6">
        <f>+Depreciation!J7</f>
        <v>20850000</v>
      </c>
      <c r="K8" s="6">
        <f>+Depreciation!K7</f>
        <v>21769495.461699482</v>
      </c>
      <c r="L8" s="6">
        <f>+Depreciation!L7</f>
        <v>21769495.461699482</v>
      </c>
      <c r="M8" s="6">
        <f>+Depreciation!M7</f>
        <v>21769495.461699482</v>
      </c>
      <c r="N8" s="6">
        <f>+Depreciation!N7</f>
        <v>21769495.461699482</v>
      </c>
      <c r="O8" s="6">
        <f>+Depreciation!O7</f>
        <v>21769495.461699482</v>
      </c>
    </row>
    <row r="9" spans="2:15" ht="15">
      <c r="B9" t="s">
        <v>128</v>
      </c>
      <c r="E9" s="25">
        <f>+Depreciation!E13</f>
        <v>0</v>
      </c>
      <c r="F9" s="25">
        <f>+Depreciation!F13</f>
        <v>2485000</v>
      </c>
      <c r="G9" s="25">
        <f>+Depreciation!G13</f>
        <v>4970000</v>
      </c>
      <c r="H9" s="25">
        <f>+Depreciation!H13</f>
        <v>7455000</v>
      </c>
      <c r="I9" s="25">
        <f>+Depreciation!I13</f>
        <v>9940000</v>
      </c>
      <c r="J9" s="25">
        <f>+Depreciation!J13</f>
        <v>12425000</v>
      </c>
      <c r="K9" s="25">
        <f>+Depreciation!K13</f>
        <v>11093899.092339896</v>
      </c>
      <c r="L9" s="25">
        <f>+Depreciation!L13</f>
        <v>13762798.184679791</v>
      </c>
      <c r="M9" s="25">
        <f>+Depreciation!M13</f>
        <v>16431697.277019687</v>
      </c>
      <c r="N9" s="25">
        <f>+Depreciation!N13</f>
        <v>19100596.369359583</v>
      </c>
      <c r="O9" s="25">
        <f>+Depreciation!O13</f>
        <v>21769495.46169948</v>
      </c>
    </row>
    <row r="10" spans="2:15" ht="15">
      <c r="B10" s="48" t="s">
        <v>111</v>
      </c>
      <c r="C10" s="48"/>
      <c r="D10" s="48"/>
      <c r="E10" s="38">
        <f>E8-E9</f>
        <v>20850000</v>
      </c>
      <c r="F10" s="38">
        <f>F8-F9</f>
        <v>18365000</v>
      </c>
      <c r="G10" s="38">
        <f aca="true" t="shared" si="0" ref="G10:O10">G8-G9</f>
        <v>15880000</v>
      </c>
      <c r="H10" s="38">
        <f t="shared" si="0"/>
        <v>13395000</v>
      </c>
      <c r="I10" s="38">
        <f t="shared" si="0"/>
        <v>10910000</v>
      </c>
      <c r="J10" s="38">
        <f t="shared" si="0"/>
        <v>8425000</v>
      </c>
      <c r="K10" s="38">
        <f t="shared" si="0"/>
        <v>10675596.369359586</v>
      </c>
      <c r="L10" s="38">
        <f t="shared" si="0"/>
        <v>8006697.277019691</v>
      </c>
      <c r="M10" s="38">
        <f t="shared" si="0"/>
        <v>5337798.184679795</v>
      </c>
      <c r="N10" s="38">
        <f t="shared" si="0"/>
        <v>2668899.0923398994</v>
      </c>
      <c r="O10" s="38">
        <f t="shared" si="0"/>
        <v>0</v>
      </c>
    </row>
    <row r="12" ht="15">
      <c r="B12" s="31" t="s">
        <v>90</v>
      </c>
    </row>
    <row r="13" spans="2:3" ht="15">
      <c r="B13" s="31" t="s">
        <v>91</v>
      </c>
      <c r="C13" s="36"/>
    </row>
    <row r="14" spans="2:15" ht="15">
      <c r="B14" t="s">
        <v>92</v>
      </c>
      <c r="C14">
        <f>+C13/F14</f>
        <v>0</v>
      </c>
      <c r="F14" s="25">
        <f>'Data input'!$C$54*'P &amp; L'!F13</f>
        <v>1588339.0965222493</v>
      </c>
      <c r="G14" s="25">
        <f>'Data input'!$C$54*'P &amp; L'!G13</f>
        <v>1800644.321027447</v>
      </c>
      <c r="H14" s="25">
        <f>'Data input'!$C$54*'P &amp; L'!H13</f>
        <v>2041430.2230718695</v>
      </c>
      <c r="I14" s="25">
        <f>'Data input'!$C$54*'P &amp; L'!I13</f>
        <v>2314557.6150815394</v>
      </c>
      <c r="J14" s="25">
        <f>'Data input'!$C$54*'P &amp; L'!J13</f>
        <v>2505270.4151978022</v>
      </c>
      <c r="K14" s="25">
        <f>'Data input'!$C$54*'P &amp; L'!K13</f>
        <v>2712539.779087942</v>
      </c>
      <c r="L14" s="25">
        <f>'Data input'!$C$54*'P &amp; L'!L13</f>
        <v>2937658.9474074147</v>
      </c>
      <c r="M14" s="25">
        <f>'Data input'!$C$54*'P &amp; L'!M13</f>
        <v>3181201.675029652</v>
      </c>
      <c r="N14" s="25">
        <f>'Data input'!$C$54*'P &amp; L'!N13</f>
        <v>3445065.8069996084</v>
      </c>
      <c r="O14" s="25">
        <f>'Data input'!$C$54*'P &amp; L'!O13</f>
        <v>3730877.3420820567</v>
      </c>
    </row>
    <row r="15" spans="2:15" ht="15">
      <c r="B15" t="s">
        <v>93</v>
      </c>
      <c r="F15" s="25">
        <f>+'Reserve acc.'!F10+E14-E19+E15</f>
        <v>1940327.694836013</v>
      </c>
      <c r="G15" s="25">
        <f>+'Reserve acc.'!G10+F14-F19+F15</f>
        <v>4482562.254366342</v>
      </c>
      <c r="H15" s="25">
        <f>+'Reserve acc.'!H10+G14-G19+G15</f>
        <v>7995401.449167378</v>
      </c>
      <c r="I15" s="25">
        <f>+'Reserve acc.'!I10+H14-H19+H15</f>
        <v>12610820.791378738</v>
      </c>
      <c r="J15" s="25">
        <f>+'Reserve acc.'!J10+I14-I19+I15</f>
        <v>17980226.510239616</v>
      </c>
      <c r="K15" s="25">
        <f>+'Reserve acc.'!K10+J14-J19+J15</f>
        <v>27463291.352536827</v>
      </c>
      <c r="L15" s="25">
        <f>+'Reserve acc.'!L10+K14-K19+K15</f>
        <v>37872578.51127273</v>
      </c>
      <c r="M15" s="25">
        <f>+'Reserve acc.'!M10+L14-L19+L15</f>
        <v>49282258.38056922</v>
      </c>
      <c r="N15" s="25">
        <f>+'Reserve acc.'!N10+M14-M19+M15</f>
        <v>63360479.53811615</v>
      </c>
      <c r="O15" s="25">
        <f>+'Reserve acc.'!O10+N14-N19+N15</f>
        <v>78617328.76886581</v>
      </c>
    </row>
    <row r="16" spans="2:15" ht="15">
      <c r="B16" s="31" t="s">
        <v>94</v>
      </c>
      <c r="F16" s="35">
        <f>SUM(F14:F15)</f>
        <v>3528666.7913582623</v>
      </c>
      <c r="G16" s="35">
        <f aca="true" t="shared" si="1" ref="G16:O16">SUM(G14:G15)</f>
        <v>6283206.5753937885</v>
      </c>
      <c r="H16" s="35">
        <f t="shared" si="1"/>
        <v>10036831.672239248</v>
      </c>
      <c r="I16" s="35">
        <f t="shared" si="1"/>
        <v>14925378.406460278</v>
      </c>
      <c r="J16" s="35">
        <f t="shared" si="1"/>
        <v>20485496.925437417</v>
      </c>
      <c r="K16" s="35">
        <f t="shared" si="1"/>
        <v>30175831.13162477</v>
      </c>
      <c r="L16" s="35">
        <f t="shared" si="1"/>
        <v>40810237.458680145</v>
      </c>
      <c r="M16" s="35">
        <f t="shared" si="1"/>
        <v>52463460.05559887</v>
      </c>
      <c r="N16" s="35">
        <f t="shared" si="1"/>
        <v>66805545.34511576</v>
      </c>
      <c r="O16" s="35">
        <f t="shared" si="1"/>
        <v>82348206.11094786</v>
      </c>
    </row>
    <row r="18" ht="15">
      <c r="B18" s="31" t="s">
        <v>95</v>
      </c>
    </row>
    <row r="19" spans="2:15" ht="15">
      <c r="B19" t="s">
        <v>96</v>
      </c>
      <c r="F19" s="25">
        <f>'Data input'!$C$55*Opex!F10</f>
        <v>1878641.9990605605</v>
      </c>
      <c r="G19" s="25">
        <f>'Data input'!$C$55*Opex!G10</f>
        <v>2133276.3123890986</v>
      </c>
      <c r="H19" s="25">
        <f>'Data input'!$C$55*Opex!H10</f>
        <v>2421811.160965537</v>
      </c>
      <c r="I19" s="25">
        <f>'Data input'!$C$55*Opex!I10</f>
        <v>2748765.51950171</v>
      </c>
      <c r="J19" s="25">
        <f>'Data input'!$C$55*Opex!J10</f>
        <v>2975915.9839692963</v>
      </c>
      <c r="K19" s="25">
        <f>'Data input'!$C$55*Opex!K10</f>
        <v>3219146.5098772477</v>
      </c>
      <c r="L19" s="25">
        <f>'Data input'!$C$55*Opex!L10</f>
        <v>3485118.768981937</v>
      </c>
      <c r="M19" s="25">
        <f>'Data input'!$C$55*Opex!M10</f>
        <v>3772778.455795519</v>
      </c>
      <c r="N19" s="25">
        <f>'Data input'!$C$55*Opex!N10</f>
        <v>4083948.581170919</v>
      </c>
      <c r="O19" s="25">
        <f>'Data input'!$C$55*Opex!O10</f>
        <v>4420541.018454386</v>
      </c>
    </row>
    <row r="20" spans="2:15" ht="15">
      <c r="B20" t="s">
        <v>97</v>
      </c>
      <c r="F20" s="35">
        <f>SUM(F19)</f>
        <v>1878641.9990605605</v>
      </c>
      <c r="G20" s="35">
        <f aca="true" t="shared" si="2" ref="G20:L20">SUM(G19)</f>
        <v>2133276.3123890986</v>
      </c>
      <c r="H20" s="35">
        <f t="shared" si="2"/>
        <v>2421811.160965537</v>
      </c>
      <c r="I20" s="35">
        <f t="shared" si="2"/>
        <v>2748765.51950171</v>
      </c>
      <c r="J20" s="35">
        <f t="shared" si="2"/>
        <v>2975915.9839692963</v>
      </c>
      <c r="K20" s="35">
        <f t="shared" si="2"/>
        <v>3219146.5098772477</v>
      </c>
      <c r="L20" s="35">
        <f t="shared" si="2"/>
        <v>3485118.768981937</v>
      </c>
      <c r="M20" s="35">
        <f>SUM(M19)</f>
        <v>3772778.455795519</v>
      </c>
      <c r="N20" s="35">
        <f>SUM(N19)</f>
        <v>4083948.581170919</v>
      </c>
      <c r="O20" s="35">
        <f>SUM(O19)</f>
        <v>4420541.018454386</v>
      </c>
    </row>
    <row r="21" spans="2:15" ht="15">
      <c r="B21" s="31" t="s">
        <v>98</v>
      </c>
      <c r="F21" s="36">
        <f>F16-F20</f>
        <v>1650024.7922977018</v>
      </c>
      <c r="G21" s="36">
        <f aca="true" t="shared" si="3" ref="G21:L21">G16-G20</f>
        <v>4149930.26300469</v>
      </c>
      <c r="H21" s="36">
        <f t="shared" si="3"/>
        <v>7615020.51127371</v>
      </c>
      <c r="I21" s="36">
        <f t="shared" si="3"/>
        <v>12176612.886958567</v>
      </c>
      <c r="J21" s="36">
        <f t="shared" si="3"/>
        <v>17509580.94146812</v>
      </c>
      <c r="K21" s="36">
        <f t="shared" si="3"/>
        <v>26956684.621747524</v>
      </c>
      <c r="L21" s="36">
        <f t="shared" si="3"/>
        <v>37325118.68969821</v>
      </c>
      <c r="M21" s="36">
        <f>M16-M20</f>
        <v>48690681.59980335</v>
      </c>
      <c r="N21" s="36">
        <f>N16-N20</f>
        <v>62721596.76394484</v>
      </c>
      <c r="O21" s="36">
        <f>O16-O20</f>
        <v>77927665.09249347</v>
      </c>
    </row>
    <row r="22" spans="2:15" ht="15">
      <c r="B22" s="48" t="s">
        <v>112</v>
      </c>
      <c r="C22" s="48"/>
      <c r="D22" s="48"/>
      <c r="E22" s="48"/>
      <c r="F22" s="49">
        <f>+F10+F21</f>
        <v>20015024.792297702</v>
      </c>
      <c r="G22" s="49">
        <f aca="true" t="shared" si="4" ref="G22:O22">+G10+G21</f>
        <v>20029930.26300469</v>
      </c>
      <c r="H22" s="49">
        <f t="shared" si="4"/>
        <v>21010020.511273712</v>
      </c>
      <c r="I22" s="49">
        <f t="shared" si="4"/>
        <v>23086612.88695857</v>
      </c>
      <c r="J22" s="49">
        <f t="shared" si="4"/>
        <v>25934580.94146812</v>
      </c>
      <c r="K22" s="49">
        <f t="shared" si="4"/>
        <v>37632280.991107106</v>
      </c>
      <c r="L22" s="49">
        <f t="shared" si="4"/>
        <v>45331815.9667179</v>
      </c>
      <c r="M22" s="49">
        <f t="shared" si="4"/>
        <v>54028479.78448315</v>
      </c>
      <c r="N22" s="49">
        <f t="shared" si="4"/>
        <v>65390495.85628474</v>
      </c>
      <c r="O22" s="49">
        <f t="shared" si="4"/>
        <v>77927665.09249347</v>
      </c>
    </row>
    <row r="23" ht="15">
      <c r="B23" s="31" t="s">
        <v>99</v>
      </c>
    </row>
    <row r="24" spans="2:15" ht="15">
      <c r="B24" t="s">
        <v>12</v>
      </c>
      <c r="F24" s="25">
        <f>IF(F6&gt;=6,('Financing '!$E$9+'Financing '!$K$9),+('Financing '!$E$9))</f>
        <v>4169999.999999999</v>
      </c>
      <c r="G24" s="25">
        <f>IF(G6&gt;=6,('Financing '!$E$9+'Financing '!$K$9),+('Financing '!$E$9))</f>
        <v>4169999.999999999</v>
      </c>
      <c r="H24" s="25">
        <f>IF(H6&gt;=6,('Financing '!$E$9+'Financing '!$K$9),+('Financing '!$E$9))</f>
        <v>4169999.999999999</v>
      </c>
      <c r="I24" s="25">
        <f>IF(I6&gt;=6,('Financing '!$E$9+'Financing '!$K$9),+('Financing '!$E$9))</f>
        <v>4169999.999999999</v>
      </c>
      <c r="J24" s="25">
        <f>IF(J6&gt;=6,('Financing '!$E$9+'Financing '!$K$9),+('Financing '!$E$9))</f>
        <v>4169999.999999999</v>
      </c>
      <c r="K24" s="25">
        <f>IF(K6&gt;=6,('Financing '!$E$9+'Financing '!$K$9),+('Financing '!$E$9))</f>
        <v>5153899.092339895</v>
      </c>
      <c r="L24" s="25">
        <f>IF(L6&gt;=6,('Financing '!$E$9+'Financing '!$K$9),+('Financing '!$E$9))</f>
        <v>5153899.092339895</v>
      </c>
      <c r="M24" s="25">
        <f>IF(M6&gt;=6,('Financing '!$E$9+'Financing '!$K$9),+('Financing '!$E$9))</f>
        <v>5153899.092339895</v>
      </c>
      <c r="N24" s="25">
        <f>IF(N6&gt;=6,('Financing '!$E$9+'Financing '!$K$9),+('Financing '!$E$9))</f>
        <v>5153899.092339895</v>
      </c>
      <c r="O24" s="25">
        <f>IF(O6&gt;=6,('Financing '!$E$9+'Financing '!$K$9),+('Financing '!$E$9))</f>
        <v>5153899.092339895</v>
      </c>
    </row>
    <row r="25" spans="2:15" ht="15">
      <c r="B25" s="3" t="s">
        <v>11</v>
      </c>
      <c r="F25" s="25">
        <f>'Financing '!F18</f>
        <v>15342643.822378013</v>
      </c>
      <c r="G25" s="25">
        <f>'Financing '!G18</f>
        <v>12036752.02699383</v>
      </c>
      <c r="H25" s="25">
        <f>'Financing '!H18</f>
        <v>8400271.052071227</v>
      </c>
      <c r="I25" s="25">
        <f>'Financing '!I18</f>
        <v>4400141.979656364</v>
      </c>
      <c r="J25" s="25">
        <f>'Financing '!J18</f>
        <v>1.3969838619232178E-08</v>
      </c>
      <c r="K25" s="25">
        <f>'Financing '!K18</f>
        <v>2746594.44508178</v>
      </c>
      <c r="L25" s="25">
        <f>'Financing '!L18</f>
        <v>1438692.328376181</v>
      </c>
      <c r="M25" s="25">
        <f>'Financing '!M18</f>
        <v>2.1653249859809875E-08</v>
      </c>
      <c r="N25" s="25">
        <f>'Financing '!N18</f>
        <v>0</v>
      </c>
      <c r="O25" s="25">
        <f>'Financing '!O18</f>
        <v>0</v>
      </c>
    </row>
    <row r="26" spans="2:15" ht="15">
      <c r="B26" t="s">
        <v>124</v>
      </c>
      <c r="E26" s="25">
        <f>-'Financing '!E10*'Data input'!$C$49</f>
        <v>-1668000</v>
      </c>
      <c r="F26" s="25">
        <f>E26+'P &amp; L'!F21</f>
        <v>502380.9699196913</v>
      </c>
      <c r="G26" s="25">
        <f>F26+'P &amp; L'!G21</f>
        <v>3823178.2360108667</v>
      </c>
      <c r="H26" s="25">
        <f>G26+'P &amp; L'!H21</f>
        <v>8439749.459202494</v>
      </c>
      <c r="I26" s="25">
        <f>H26+'P &amp; L'!I21</f>
        <v>14516470.90730222</v>
      </c>
      <c r="J26" s="25">
        <f>I26+'P &amp; L'!J21</f>
        <v>21764580.941468127</v>
      </c>
      <c r="K26" s="25">
        <f>J26+'P &amp; L'!K21</f>
        <v>29731787.453685455</v>
      </c>
      <c r="L26" s="25">
        <f>K26+'P &amp; L'!L21</f>
        <v>38739224.546001844</v>
      </c>
      <c r="M26" s="25">
        <f>L26+'P &amp; L'!M21</f>
        <v>48874580.69214326</v>
      </c>
      <c r="N26" s="25">
        <f>M26+'P &amp; L'!N21</f>
        <v>60236596.76394485</v>
      </c>
      <c r="O26" s="25">
        <f>N26+'P &amp; L'!O21</f>
        <v>72773766.00015359</v>
      </c>
    </row>
    <row r="27" spans="2:16" ht="15">
      <c r="B27" s="31" t="s">
        <v>100</v>
      </c>
      <c r="D27" s="31"/>
      <c r="E27" s="31"/>
      <c r="F27" s="35">
        <f>SUM(F24:F26)</f>
        <v>20015024.792297702</v>
      </c>
      <c r="G27" s="35">
        <f aca="true" t="shared" si="5" ref="G27:O27">SUM(G24:G26)</f>
        <v>20029930.26300469</v>
      </c>
      <c r="H27" s="35">
        <f t="shared" si="5"/>
        <v>21010020.511273712</v>
      </c>
      <c r="I27" s="35">
        <f t="shared" si="5"/>
        <v>23086612.88695857</v>
      </c>
      <c r="J27" s="35">
        <f t="shared" si="5"/>
        <v>25934580.941468123</v>
      </c>
      <c r="K27" s="35">
        <f t="shared" si="5"/>
        <v>37632280.99110711</v>
      </c>
      <c r="L27" s="35">
        <f t="shared" si="5"/>
        <v>45331815.9667179</v>
      </c>
      <c r="M27" s="35">
        <f t="shared" si="5"/>
        <v>54028479.78448315</v>
      </c>
      <c r="N27" s="35">
        <f t="shared" si="5"/>
        <v>65390495.856284745</v>
      </c>
      <c r="O27" s="35">
        <f t="shared" si="5"/>
        <v>77927665.09249347</v>
      </c>
      <c r="P27" s="31"/>
    </row>
    <row r="28" spans="6:15" ht="15">
      <c r="F28" s="36">
        <f>F27-F22</f>
        <v>0</v>
      </c>
      <c r="G28" s="36">
        <f aca="true" t="shared" si="6" ref="G28:O28">G27-G22</f>
        <v>0</v>
      </c>
      <c r="H28" s="36">
        <f t="shared" si="6"/>
        <v>0</v>
      </c>
      <c r="I28" s="36">
        <f t="shared" si="6"/>
        <v>0</v>
      </c>
      <c r="J28" s="36">
        <f t="shared" si="6"/>
        <v>0</v>
      </c>
      <c r="K28" s="36">
        <f t="shared" si="6"/>
        <v>0</v>
      </c>
      <c r="L28" s="36">
        <f t="shared" si="6"/>
        <v>0</v>
      </c>
      <c r="M28" s="36">
        <f t="shared" si="6"/>
        <v>0</v>
      </c>
      <c r="N28" s="36">
        <f t="shared" si="6"/>
        <v>0</v>
      </c>
      <c r="O28" s="36">
        <f t="shared" si="6"/>
        <v>0</v>
      </c>
    </row>
    <row r="29" spans="6:15" ht="15">
      <c r="F29" t="str">
        <f>IF(ABS(F22-F27&lt;0.01),"Yes","NO")</f>
        <v>Yes</v>
      </c>
      <c r="G29" t="str">
        <f aca="true" t="shared" si="7" ref="G29:O29">IF(ABS(G22-G27&lt;0.01),"Yes","NO")</f>
        <v>Yes</v>
      </c>
      <c r="H29" t="str">
        <f t="shared" si="7"/>
        <v>Yes</v>
      </c>
      <c r="I29" t="str">
        <f t="shared" si="7"/>
        <v>Yes</v>
      </c>
      <c r="J29" t="str">
        <f t="shared" si="7"/>
        <v>Yes</v>
      </c>
      <c r="K29" t="str">
        <f t="shared" si="7"/>
        <v>Yes</v>
      </c>
      <c r="L29" t="str">
        <f t="shared" si="7"/>
        <v>Yes</v>
      </c>
      <c r="M29" t="str">
        <f t="shared" si="7"/>
        <v>Yes</v>
      </c>
      <c r="N29" t="str">
        <f t="shared" si="7"/>
        <v>Yes</v>
      </c>
      <c r="O29" t="str">
        <f t="shared" si="7"/>
        <v>Yes</v>
      </c>
    </row>
  </sheetData>
  <sheetProtection/>
  <printOptions/>
  <pageMargins left="0.7" right="0.7" top="0.75" bottom="0.75" header="0.3" footer="0.3"/>
  <pageSetup fitToHeight="1" fitToWidth="1" horizontalDpi="600" verticalDpi="600" orientation="landscape" scale="67" r:id="rId1"/>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1:P36"/>
  <sheetViews>
    <sheetView tabSelected="1" zoomScalePageLayoutView="0" workbookViewId="0" topLeftCell="A1">
      <pane xSplit="4" ySplit="6" topLeftCell="E19" activePane="bottomRight" state="frozen"/>
      <selection pane="topLeft" activeCell="A1" sqref="A1"/>
      <selection pane="topRight" activeCell="E1" sqref="E1"/>
      <selection pane="bottomLeft" activeCell="A7" sqref="A7"/>
      <selection pane="bottomRight" activeCell="F32" sqref="F32"/>
    </sheetView>
  </sheetViews>
  <sheetFormatPr defaultColWidth="9.140625" defaultRowHeight="15"/>
  <cols>
    <col min="4" max="4" width="14.421875" style="0" customWidth="1"/>
    <col min="5" max="5" width="15.00390625" style="0" bestFit="1" customWidth="1"/>
    <col min="6" max="6" width="16.00390625" style="0" customWidth="1"/>
    <col min="7" max="7" width="13.57421875" style="0" customWidth="1"/>
    <col min="8" max="14" width="13.421875" style="0" bestFit="1" customWidth="1"/>
    <col min="15" max="15" width="14.421875" style="0" bestFit="1" customWidth="1"/>
  </cols>
  <sheetData>
    <row r="1" spans="2:15" ht="18.75">
      <c r="B1" s="30" t="s">
        <v>119</v>
      </c>
      <c r="C1" s="30"/>
      <c r="D1" s="30"/>
      <c r="E1" s="18"/>
      <c r="F1" s="18"/>
      <c r="G1" s="18"/>
      <c r="H1" s="18"/>
      <c r="I1" s="18"/>
      <c r="J1" s="18"/>
      <c r="K1" s="18"/>
      <c r="L1" s="18"/>
      <c r="M1" s="18"/>
      <c r="N1" s="18"/>
      <c r="O1" s="18"/>
    </row>
    <row r="2" spans="2:15" ht="18.75">
      <c r="B2" s="30" t="s">
        <v>118</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D4" s="33" t="s">
        <v>54</v>
      </c>
      <c r="E4" s="13">
        <f>'Data input'!$C$13</f>
        <v>42005</v>
      </c>
      <c r="F4" s="13">
        <f>E4+'Data input'!$C$15+1</f>
        <v>42371</v>
      </c>
      <c r="G4" s="13">
        <f>F4+'Data input'!$C$15+1</f>
        <v>42737</v>
      </c>
      <c r="H4" s="13">
        <f>G4+'Data input'!$C$15+1</f>
        <v>43103</v>
      </c>
      <c r="I4" s="13">
        <f>H4+'Data input'!$C$15+1</f>
        <v>43469</v>
      </c>
      <c r="J4" s="13">
        <f>I4+'Data input'!$C$15+1</f>
        <v>43835</v>
      </c>
      <c r="K4" s="13">
        <f>J4+'Data input'!$C$15+1</f>
        <v>44201</v>
      </c>
      <c r="L4" s="13">
        <f>K4+'Data input'!$C$15+1</f>
        <v>44567</v>
      </c>
      <c r="M4" s="13">
        <f>L4+'Data input'!$C$15+1</f>
        <v>44933</v>
      </c>
      <c r="N4" s="13">
        <f>M4+'Data input'!$C$15+1</f>
        <v>45299</v>
      </c>
      <c r="O4" s="13">
        <f>N4+'Data input'!$C$15+1</f>
        <v>45665</v>
      </c>
    </row>
    <row r="5" spans="4:15" ht="15">
      <c r="D5" s="31"/>
      <c r="E5" s="13">
        <f>E4+'Data input'!$C$15-1</f>
        <v>42369</v>
      </c>
      <c r="F5" s="13">
        <f>F4+'Data input'!$C$15-F6</f>
        <v>42735</v>
      </c>
      <c r="G5" s="13">
        <f>G4+'Data input'!$C$15-G6</f>
        <v>43100</v>
      </c>
      <c r="H5" s="13">
        <f>H4+'Data input'!$C$15-H6</f>
        <v>43465</v>
      </c>
      <c r="I5" s="13">
        <f>I4+'Data input'!$C$15-I6</f>
        <v>43830</v>
      </c>
      <c r="J5" s="13">
        <f>J4+'Data input'!$C$15-J6</f>
        <v>44195</v>
      </c>
      <c r="K5" s="13">
        <f>K4+'Data input'!$C$15-K6</f>
        <v>44560</v>
      </c>
      <c r="L5" s="13">
        <f>L4+'Data input'!$C$15-L6</f>
        <v>44925</v>
      </c>
      <c r="M5" s="13">
        <f>M4+'Data input'!$C$15-M6</f>
        <v>45290</v>
      </c>
      <c r="N5" s="13">
        <f>N4+'Data input'!$C$15-N6</f>
        <v>45655</v>
      </c>
      <c r="O5" s="13">
        <f>O4+'Data input'!$C$15-O6</f>
        <v>46020</v>
      </c>
    </row>
    <row r="6" spans="5:15" ht="15">
      <c r="E6">
        <v>0</v>
      </c>
      <c r="F6">
        <v>1</v>
      </c>
      <c r="G6">
        <v>2</v>
      </c>
      <c r="H6">
        <v>3</v>
      </c>
      <c r="I6">
        <v>4</v>
      </c>
      <c r="J6">
        <v>5</v>
      </c>
      <c r="K6">
        <v>6</v>
      </c>
      <c r="L6">
        <v>7</v>
      </c>
      <c r="M6">
        <v>8</v>
      </c>
      <c r="N6">
        <v>9</v>
      </c>
      <c r="O6">
        <v>10</v>
      </c>
    </row>
    <row r="7" ht="15.75">
      <c r="B7" s="51" t="s">
        <v>132</v>
      </c>
    </row>
    <row r="8" spans="2:16" ht="15">
      <c r="B8" t="s">
        <v>133</v>
      </c>
      <c r="F8" s="25">
        <f>+'P &amp; L'!F21</f>
        <v>2170380.9699196913</v>
      </c>
      <c r="G8" s="25">
        <f>+'P &amp; L'!G21</f>
        <v>3320797.2660911754</v>
      </c>
      <c r="H8" s="25">
        <f>+'P &amp; L'!H21</f>
        <v>4616571.223191628</v>
      </c>
      <c r="I8" s="25">
        <f>+'P &amp; L'!I21</f>
        <v>6076721.448099726</v>
      </c>
      <c r="J8" s="25">
        <f>+'P &amp; L'!J21</f>
        <v>7248110.034165909</v>
      </c>
      <c r="K8" s="25">
        <f>+'P &amp; L'!K21</f>
        <v>7967206.512217326</v>
      </c>
      <c r="L8" s="25">
        <f>+'P &amp; L'!L21</f>
        <v>9007437.09231639</v>
      </c>
      <c r="M8" s="25">
        <f>+'P &amp; L'!M21</f>
        <v>10135356.146141414</v>
      </c>
      <c r="N8" s="25">
        <f>+'P &amp; L'!N21</f>
        <v>11362016.07180159</v>
      </c>
      <c r="O8" s="25">
        <f>+'P &amp; L'!O21</f>
        <v>12537169.23620874</v>
      </c>
      <c r="P8" s="24"/>
    </row>
    <row r="9" spans="2:16" ht="15">
      <c r="B9" t="s">
        <v>134</v>
      </c>
      <c r="F9" s="25">
        <f>+'P &amp; L'!F16</f>
        <v>2485000</v>
      </c>
      <c r="G9" s="25">
        <f>+'P &amp; L'!G16</f>
        <v>2485000</v>
      </c>
      <c r="H9" s="25">
        <f>+'P &amp; L'!H16</f>
        <v>2485000</v>
      </c>
      <c r="I9" s="25">
        <f>+'P &amp; L'!I16</f>
        <v>2485000</v>
      </c>
      <c r="J9" s="25">
        <f>+'P &amp; L'!J16</f>
        <v>2485000</v>
      </c>
      <c r="K9" s="25">
        <f>+'P &amp; L'!K16</f>
        <v>2668899.092339896</v>
      </c>
      <c r="L9" s="25">
        <f>+'P &amp; L'!L16</f>
        <v>2668899.092339896</v>
      </c>
      <c r="M9" s="25">
        <f>+'P &amp; L'!M16</f>
        <v>2668899.092339896</v>
      </c>
      <c r="N9" s="25">
        <f>+'P &amp; L'!N16</f>
        <v>2668899.092339896</v>
      </c>
      <c r="O9" s="25">
        <f>+'P &amp; L'!O16</f>
        <v>2668899.092339896</v>
      </c>
      <c r="P9" s="24"/>
    </row>
    <row r="10" spans="2:16" ht="15">
      <c r="B10" t="s">
        <v>146</v>
      </c>
      <c r="F10" s="25">
        <f>'P &amp; L'!F20</f>
        <v>1834800</v>
      </c>
      <c r="G10" s="25">
        <f>'P &amp; L'!G20</f>
        <v>1534264.3822378013</v>
      </c>
      <c r="H10" s="25">
        <f>'P &amp; L'!H20</f>
        <v>1203675.202699383</v>
      </c>
      <c r="I10" s="25">
        <f>'P &amp; L'!I20</f>
        <v>840027.1052071227</v>
      </c>
      <c r="J10" s="25">
        <f>'P &amp; L'!J20</f>
        <v>440014.1979656364</v>
      </c>
      <c r="K10" s="25">
        <f>'P &amp; L'!K20</f>
        <v>393559.6369359585</v>
      </c>
      <c r="L10" s="25">
        <f>'P &amp; L'!L20</f>
        <v>274659.44450817804</v>
      </c>
      <c r="M10" s="25">
        <f>'P &amp; L'!M20</f>
        <v>143869.2328376181</v>
      </c>
      <c r="N10" s="25">
        <f>'P &amp; L'!N20</f>
        <v>2.1653249859809877E-09</v>
      </c>
      <c r="O10" s="25">
        <f>'P &amp; L'!O20</f>
        <v>0</v>
      </c>
      <c r="P10" s="24"/>
    </row>
    <row r="11" spans="2:16" ht="15">
      <c r="B11" t="s">
        <v>135</v>
      </c>
      <c r="F11" s="25">
        <f>-'Balance sheet'!F14+'Balance sheet'!E14</f>
        <v>-1588339.0965222493</v>
      </c>
      <c r="G11" s="25">
        <f>-'Balance sheet'!G14+'Balance sheet'!F14</f>
        <v>-212305.22450519772</v>
      </c>
      <c r="H11" s="25">
        <f>-'Balance sheet'!H14+'Balance sheet'!G14</f>
        <v>-240785.90204442246</v>
      </c>
      <c r="I11" s="25">
        <f>-'Balance sheet'!I14+'Balance sheet'!H14</f>
        <v>-273127.3920096699</v>
      </c>
      <c r="J11" s="25">
        <f>-'Balance sheet'!J14+'Balance sheet'!I14</f>
        <v>-190712.80011626286</v>
      </c>
      <c r="K11" s="25">
        <f>-'Balance sheet'!K14+'Balance sheet'!J14</f>
        <v>-207269.36389013985</v>
      </c>
      <c r="L11" s="25">
        <f>-'Balance sheet'!L14+'Balance sheet'!K14</f>
        <v>-225119.16831947258</v>
      </c>
      <c r="M11" s="25">
        <f>-'Balance sheet'!M14+'Balance sheet'!L14</f>
        <v>-243542.72762223752</v>
      </c>
      <c r="N11" s="25">
        <f>-'Balance sheet'!N14+'Balance sheet'!M14</f>
        <v>-263864.1319699562</v>
      </c>
      <c r="O11" s="25">
        <f>-'Balance sheet'!O14+'Balance sheet'!N14</f>
        <v>-285811.5350824483</v>
      </c>
      <c r="P11" s="24"/>
    </row>
    <row r="12" spans="2:16" ht="15">
      <c r="B12" t="s">
        <v>136</v>
      </c>
      <c r="F12" s="25">
        <f>+'Balance sheet'!F19-'Balance sheet'!E19</f>
        <v>1878641.9990605605</v>
      </c>
      <c r="G12" s="25">
        <f>+'Balance sheet'!G19-'Balance sheet'!F19</f>
        <v>254634.3133285381</v>
      </c>
      <c r="H12" s="25">
        <f>+'Balance sheet'!H19-'Balance sheet'!G19</f>
        <v>288534.8485764386</v>
      </c>
      <c r="I12" s="25">
        <f>+'Balance sheet'!I19-'Balance sheet'!H19</f>
        <v>326954.35853617266</v>
      </c>
      <c r="J12" s="25">
        <f>+'Balance sheet'!J19-'Balance sheet'!I19</f>
        <v>227150.46446758648</v>
      </c>
      <c r="K12" s="25">
        <f>+'Balance sheet'!K19-'Balance sheet'!J19</f>
        <v>243230.5259079514</v>
      </c>
      <c r="L12" s="25">
        <f>+'Balance sheet'!L19-'Balance sheet'!K19</f>
        <v>265972.2591046891</v>
      </c>
      <c r="M12" s="25">
        <f>+'Balance sheet'!M19-'Balance sheet'!L19</f>
        <v>287659.6868135822</v>
      </c>
      <c r="N12" s="25">
        <f>+'Balance sheet'!N19-'Balance sheet'!M19</f>
        <v>311170.12537539983</v>
      </c>
      <c r="O12" s="25">
        <f>+'Balance sheet'!O19-'Balance sheet'!N19</f>
        <v>336592.43728346704</v>
      </c>
      <c r="P12" s="24"/>
    </row>
    <row r="13" spans="2:16" ht="15">
      <c r="B13" s="31" t="s">
        <v>137</v>
      </c>
      <c r="C13" s="31"/>
      <c r="D13" s="31"/>
      <c r="E13" s="31"/>
      <c r="F13" s="32">
        <f>SUM(F8:F12)</f>
        <v>6780483.872458002</v>
      </c>
      <c r="G13" s="32">
        <f aca="true" t="shared" si="0" ref="G13:O13">SUM(G8:G12)</f>
        <v>7382390.737152318</v>
      </c>
      <c r="H13" s="32">
        <f t="shared" si="0"/>
        <v>8352995.372423028</v>
      </c>
      <c r="I13" s="32">
        <f t="shared" si="0"/>
        <v>9455575.519833349</v>
      </c>
      <c r="J13" s="32">
        <f t="shared" si="0"/>
        <v>10209561.896482866</v>
      </c>
      <c r="K13" s="32">
        <f t="shared" si="0"/>
        <v>11065626.403510991</v>
      </c>
      <c r="L13" s="32">
        <f t="shared" si="0"/>
        <v>11991848.719949678</v>
      </c>
      <c r="M13" s="32">
        <f t="shared" si="0"/>
        <v>12992241.43051027</v>
      </c>
      <c r="N13" s="32">
        <f t="shared" si="0"/>
        <v>14078221.157546928</v>
      </c>
      <c r="O13" s="32">
        <f t="shared" si="0"/>
        <v>15256849.230749656</v>
      </c>
      <c r="P13" s="24"/>
    </row>
    <row r="14" spans="2:16" ht="15">
      <c r="B14" s="31"/>
      <c r="C14" s="31"/>
      <c r="D14" s="31"/>
      <c r="E14" s="31"/>
      <c r="F14" s="32"/>
      <c r="G14" s="32"/>
      <c r="H14" s="32"/>
      <c r="I14" s="32"/>
      <c r="J14" s="32"/>
      <c r="K14" s="32"/>
      <c r="L14" s="32"/>
      <c r="M14" s="32"/>
      <c r="N14" s="32"/>
      <c r="O14" s="32"/>
      <c r="P14" s="24"/>
    </row>
    <row r="15" spans="2:16" ht="15.75">
      <c r="B15" s="51" t="s">
        <v>131</v>
      </c>
      <c r="F15" s="25"/>
      <c r="G15" s="25"/>
      <c r="H15" s="25"/>
      <c r="I15" s="25"/>
      <c r="J15" s="25"/>
      <c r="K15" s="25"/>
      <c r="L15" s="25"/>
      <c r="M15" s="25"/>
      <c r="N15" s="25"/>
      <c r="O15" s="25"/>
      <c r="P15" s="24"/>
    </row>
    <row r="16" spans="2:16" ht="15.75">
      <c r="B16" s="52" t="s">
        <v>12</v>
      </c>
      <c r="E16" s="25">
        <f>'Financing '!E9</f>
        <v>4169999.999999999</v>
      </c>
      <c r="G16" s="25">
        <f>'Financing '!F9</f>
        <v>0</v>
      </c>
      <c r="H16" s="25">
        <f>'Financing '!G9</f>
        <v>0</v>
      </c>
      <c r="I16" s="25">
        <f>'Financing '!H9</f>
        <v>0</v>
      </c>
      <c r="J16" s="25">
        <f>'Financing '!I9</f>
        <v>0</v>
      </c>
      <c r="K16" s="25">
        <f>'Financing '!J9</f>
        <v>0</v>
      </c>
      <c r="L16" s="25">
        <f>'Financing '!K9</f>
        <v>983899.092339896</v>
      </c>
      <c r="M16" s="25">
        <f>'Financing '!L9</f>
        <v>0</v>
      </c>
      <c r="N16" s="25">
        <f>'Financing '!M9</f>
        <v>0</v>
      </c>
      <c r="O16" s="25">
        <f>'Financing '!N9</f>
        <v>0</v>
      </c>
      <c r="P16" s="24"/>
    </row>
    <row r="17" spans="2:16" ht="15.75">
      <c r="B17" s="52" t="s">
        <v>11</v>
      </c>
      <c r="E17" s="25">
        <f>'Financing '!E10</f>
        <v>16680000</v>
      </c>
      <c r="G17" s="25">
        <f>'Financing '!F10</f>
        <v>0</v>
      </c>
      <c r="H17" s="25">
        <f>'Financing '!G10</f>
        <v>0</v>
      </c>
      <c r="I17" s="25">
        <f>'Financing '!H10</f>
        <v>0</v>
      </c>
      <c r="J17" s="25">
        <f>'Financing '!I10</f>
        <v>0</v>
      </c>
      <c r="K17" s="25">
        <f>'Financing '!J10</f>
        <v>0</v>
      </c>
      <c r="L17" s="25">
        <f>'Financing '!K10</f>
        <v>3935596.369359585</v>
      </c>
      <c r="M17" s="25">
        <f>'Financing '!L10</f>
        <v>0</v>
      </c>
      <c r="N17" s="25">
        <f>'Financing '!M10</f>
        <v>0</v>
      </c>
      <c r="O17" s="25">
        <f>'Financing '!N10</f>
        <v>0</v>
      </c>
      <c r="P17" s="24"/>
    </row>
    <row r="18" spans="2:16" ht="15.75">
      <c r="B18" s="52" t="s">
        <v>147</v>
      </c>
      <c r="F18" s="25">
        <f>-'Financing '!F16</f>
        <v>-1834800</v>
      </c>
      <c r="G18" s="25">
        <f>-'Financing '!G16</f>
        <v>-1534264.3822378013</v>
      </c>
      <c r="H18" s="25">
        <f>-'Financing '!H16</f>
        <v>-1203675.202699383</v>
      </c>
      <c r="I18" s="25">
        <f>-'Financing '!I16</f>
        <v>-840027.1052071227</v>
      </c>
      <c r="J18" s="25">
        <f>-'Financing '!J16</f>
        <v>-440014.1979656364</v>
      </c>
      <c r="K18" s="25">
        <f>-'Financing '!K16</f>
        <v>-393559.6369359585</v>
      </c>
      <c r="L18" s="25">
        <f>-'Financing '!L16</f>
        <v>-274659.44450817804</v>
      </c>
      <c r="M18" s="25">
        <f>-'Financing '!M16</f>
        <v>-143869.2328376181</v>
      </c>
      <c r="N18" s="25">
        <f>-'Financing '!N16</f>
        <v>-2.1653249859809877E-09</v>
      </c>
      <c r="O18" s="25">
        <f>-'Financing '!O16</f>
        <v>0</v>
      </c>
      <c r="P18" s="24"/>
    </row>
    <row r="19" spans="2:16" ht="15.75">
      <c r="B19" s="52" t="s">
        <v>148</v>
      </c>
      <c r="F19" s="25">
        <f>-'Financing '!F15</f>
        <v>-3005356.177621986</v>
      </c>
      <c r="G19" s="25">
        <f>-'Financing '!G15</f>
        <v>-3305891.7953841845</v>
      </c>
      <c r="H19" s="25">
        <f>-'Financing '!H15</f>
        <v>-3636480.974922603</v>
      </c>
      <c r="I19" s="25">
        <f>-'Financing '!I15</f>
        <v>-4000129.072414863</v>
      </c>
      <c r="J19" s="25">
        <f>-'Financing '!J15</f>
        <v>-4400141.97965635</v>
      </c>
      <c r="K19" s="25">
        <f>-'Financing '!K15</f>
        <v>-1189001.9242778188</v>
      </c>
      <c r="L19" s="25">
        <f>-'Financing '!L15</f>
        <v>-1307902.1167055992</v>
      </c>
      <c r="M19" s="25">
        <f>-'Financing '!M15</f>
        <v>-1438692.3283761593</v>
      </c>
      <c r="N19" s="25">
        <f>-'Financing '!N15</f>
        <v>0</v>
      </c>
      <c r="O19" s="25">
        <f>-'Financing '!O15</f>
        <v>0</v>
      </c>
      <c r="P19" s="24"/>
    </row>
    <row r="20" spans="2:16" ht="15.75">
      <c r="B20" s="51" t="s">
        <v>138</v>
      </c>
      <c r="C20" s="31"/>
      <c r="D20" s="31"/>
      <c r="E20" s="32">
        <f>SUM(E16:E19)</f>
        <v>20850000</v>
      </c>
      <c r="F20" s="32">
        <f>SUM(F16:F19)</f>
        <v>-4840156.177621986</v>
      </c>
      <c r="G20" s="32">
        <f aca="true" t="shared" si="1" ref="G20:O20">SUM(G16:G19)</f>
        <v>-4840156.177621986</v>
      </c>
      <c r="H20" s="32">
        <f t="shared" si="1"/>
        <v>-4840156.177621986</v>
      </c>
      <c r="I20" s="32">
        <f t="shared" si="1"/>
        <v>-4840156.177621986</v>
      </c>
      <c r="J20" s="32">
        <f t="shared" si="1"/>
        <v>-4840156.177621987</v>
      </c>
      <c r="K20" s="32">
        <f t="shared" si="1"/>
        <v>-1582561.5612137774</v>
      </c>
      <c r="L20" s="32">
        <f t="shared" si="1"/>
        <v>3336933.9004857037</v>
      </c>
      <c r="M20" s="32">
        <f t="shared" si="1"/>
        <v>-1582561.5612137774</v>
      </c>
      <c r="N20" s="32">
        <f t="shared" si="1"/>
        <v>-2.1653249859809877E-09</v>
      </c>
      <c r="O20" s="32">
        <f t="shared" si="1"/>
        <v>0</v>
      </c>
      <c r="P20" s="24"/>
    </row>
    <row r="21" spans="2:16" ht="15.75">
      <c r="B21" s="51"/>
      <c r="F21" s="25"/>
      <c r="G21" s="25"/>
      <c r="H21" s="25"/>
      <c r="I21" s="25"/>
      <c r="J21" s="25"/>
      <c r="K21" s="25"/>
      <c r="L21" s="25"/>
      <c r="M21" s="25"/>
      <c r="N21" s="25"/>
      <c r="O21" s="25"/>
      <c r="P21" s="24"/>
    </row>
    <row r="22" spans="2:16" ht="15.75">
      <c r="B22" s="51" t="s">
        <v>130</v>
      </c>
      <c r="F22" s="25"/>
      <c r="G22" s="25"/>
      <c r="H22" s="25"/>
      <c r="I22" s="25"/>
      <c r="J22" s="25"/>
      <c r="K22" s="25"/>
      <c r="L22" s="25"/>
      <c r="M22" s="25"/>
      <c r="N22" s="25"/>
      <c r="O22" s="25"/>
      <c r="P22" s="24"/>
    </row>
    <row r="23" spans="2:16" ht="15">
      <c r="B23" s="23" t="s">
        <v>43</v>
      </c>
      <c r="E23" s="25">
        <f>'Capital investment'!D9</f>
        <v>1000000</v>
      </c>
      <c r="G23" s="25">
        <f>'Capital investment'!E9</f>
        <v>0</v>
      </c>
      <c r="H23" s="25">
        <f>'Capital investment'!F9</f>
        <v>0</v>
      </c>
      <c r="I23" s="25">
        <f>'Capital investment'!G9</f>
        <v>0</v>
      </c>
      <c r="J23" s="25">
        <f>'Capital investment'!H9</f>
        <v>0</v>
      </c>
      <c r="K23" s="25">
        <f>'Capital investment'!I9</f>
        <v>0</v>
      </c>
      <c r="L23" s="25">
        <f>'Capital investment'!J9</f>
        <v>0</v>
      </c>
      <c r="M23" s="25">
        <f>'Capital investment'!K9</f>
        <v>0</v>
      </c>
      <c r="N23" s="25">
        <f>'Capital investment'!L9</f>
        <v>0</v>
      </c>
      <c r="O23" s="25">
        <f>'Capital investment'!M9</f>
        <v>0</v>
      </c>
      <c r="P23" s="24"/>
    </row>
    <row r="24" spans="2:16" ht="15">
      <c r="B24" s="10" t="s">
        <v>71</v>
      </c>
      <c r="E24" s="25">
        <f>'Capital investment'!D10</f>
        <v>14500000</v>
      </c>
      <c r="G24" s="25">
        <f>'Capital investment'!E10</f>
        <v>0</v>
      </c>
      <c r="H24" s="25">
        <f>'Capital investment'!F10</f>
        <v>0</v>
      </c>
      <c r="I24" s="25">
        <f>'Capital investment'!G10</f>
        <v>0</v>
      </c>
      <c r="J24" s="25">
        <f>'Capital investment'!H10</f>
        <v>0</v>
      </c>
      <c r="K24" s="25" t="str">
        <f>'Capital investment'!I10</f>
        <v>-</v>
      </c>
      <c r="L24" s="25">
        <f>'Capital investment'!J10</f>
        <v>0</v>
      </c>
      <c r="M24" s="25">
        <f>'Capital investment'!K10</f>
        <v>0</v>
      </c>
      <c r="N24" s="25">
        <f>'Capital investment'!L10</f>
        <v>0</v>
      </c>
      <c r="O24" s="25">
        <f>'Capital investment'!M10</f>
        <v>0</v>
      </c>
      <c r="P24" s="24"/>
    </row>
    <row r="25" spans="2:16" ht="15">
      <c r="B25" s="10" t="s">
        <v>69</v>
      </c>
      <c r="E25" s="25">
        <f>'Capital investment'!D11</f>
        <v>4000000</v>
      </c>
      <c r="G25" s="25">
        <f>'Capital investment'!E11</f>
        <v>0</v>
      </c>
      <c r="H25" s="25">
        <f>'Capital investment'!F11</f>
        <v>0</v>
      </c>
      <c r="I25" s="25">
        <f>'Capital investment'!G11</f>
        <v>0</v>
      </c>
      <c r="J25" s="25">
        <f>'Capital investment'!H11</f>
        <v>0</v>
      </c>
      <c r="K25" s="25">
        <f>'Capital investment'!I11</f>
        <v>0</v>
      </c>
      <c r="L25" s="25">
        <f>'Capital investment'!J11</f>
        <v>4919495.461699481</v>
      </c>
      <c r="M25" s="25">
        <f>'Capital investment'!K11</f>
        <v>0</v>
      </c>
      <c r="N25" s="25">
        <f>'Capital investment'!L11</f>
        <v>0</v>
      </c>
      <c r="O25" s="25">
        <f>'Capital investment'!M11</f>
        <v>0</v>
      </c>
      <c r="P25" s="24"/>
    </row>
    <row r="26" spans="2:16" ht="15">
      <c r="B26" s="10" t="s">
        <v>44</v>
      </c>
      <c r="E26" s="25">
        <f>'Capital investment'!D12</f>
        <v>250000</v>
      </c>
      <c r="G26" s="25">
        <f>'Capital investment'!E12</f>
        <v>0</v>
      </c>
      <c r="H26" s="25">
        <f>'Capital investment'!F12</f>
        <v>0</v>
      </c>
      <c r="I26" s="25">
        <f>'Capital investment'!G12</f>
        <v>0</v>
      </c>
      <c r="J26" s="25">
        <f>'Capital investment'!H12</f>
        <v>0</v>
      </c>
      <c r="K26" s="25">
        <f>'Capital investment'!I12</f>
        <v>0</v>
      </c>
      <c r="L26" s="25">
        <f>'Capital investment'!J12</f>
        <v>0</v>
      </c>
      <c r="M26" s="25">
        <f>'Capital investment'!K12</f>
        <v>0</v>
      </c>
      <c r="N26" s="25">
        <f>'Capital investment'!L12</f>
        <v>0</v>
      </c>
      <c r="O26" s="25">
        <f>'Capital investment'!M12</f>
        <v>0</v>
      </c>
      <c r="P26" s="24"/>
    </row>
    <row r="27" spans="2:16" ht="15">
      <c r="B27" s="10" t="s">
        <v>46</v>
      </c>
      <c r="E27" s="25">
        <f>'Capital investment'!D13</f>
        <v>1000000</v>
      </c>
      <c r="G27" s="25">
        <f>'Capital investment'!E13</f>
        <v>0</v>
      </c>
      <c r="H27" s="25">
        <f>'Capital investment'!F13</f>
        <v>0</v>
      </c>
      <c r="I27" s="25">
        <f>'Capital investment'!G13</f>
        <v>0</v>
      </c>
      <c r="J27" s="25">
        <f>'Capital investment'!H13</f>
        <v>0</v>
      </c>
      <c r="K27" s="25">
        <f>'Capital investment'!I13</f>
        <v>0</v>
      </c>
      <c r="L27" s="25">
        <f>'Capital investment'!J13</f>
        <v>0</v>
      </c>
      <c r="M27" s="25">
        <f>'Capital investment'!K13</f>
        <v>0</v>
      </c>
      <c r="N27" s="25">
        <f>'Capital investment'!L13</f>
        <v>0</v>
      </c>
      <c r="O27" s="25">
        <f>'Capital investment'!M13</f>
        <v>0</v>
      </c>
      <c r="P27" s="24"/>
    </row>
    <row r="28" spans="2:16" ht="15">
      <c r="B28" s="10" t="s">
        <v>47</v>
      </c>
      <c r="E28" s="25">
        <f>'Capital investment'!D14</f>
        <v>100000</v>
      </c>
      <c r="G28" s="25">
        <f>'Capital investment'!E14</f>
        <v>0</v>
      </c>
      <c r="H28" s="25">
        <f>'Capital investment'!F14</f>
        <v>0</v>
      </c>
      <c r="I28" s="25">
        <f>'Capital investment'!G14</f>
        <v>0</v>
      </c>
      <c r="J28" s="25">
        <f>'Capital investment'!H14</f>
        <v>0</v>
      </c>
      <c r="K28" s="25">
        <f>'Capital investment'!I14</f>
        <v>0</v>
      </c>
      <c r="L28" s="25">
        <f>'Capital investment'!J14</f>
        <v>0</v>
      </c>
      <c r="M28" s="25">
        <f>'Capital investment'!K14</f>
        <v>0</v>
      </c>
      <c r="N28" s="25">
        <f>'Capital investment'!L14</f>
        <v>0</v>
      </c>
      <c r="O28" s="25">
        <f>'Capital investment'!M14</f>
        <v>0</v>
      </c>
      <c r="P28" s="24"/>
    </row>
    <row r="29" spans="2:16" ht="15">
      <c r="B29" s="26" t="s">
        <v>49</v>
      </c>
      <c r="C29" s="31"/>
      <c r="D29" s="31"/>
      <c r="E29" s="32">
        <f aca="true" t="shared" si="2" ref="E29:O29">-SUM(E23:E28)</f>
        <v>-20850000</v>
      </c>
      <c r="F29" s="32">
        <f t="shared" si="2"/>
        <v>0</v>
      </c>
      <c r="G29" s="32">
        <f t="shared" si="2"/>
        <v>0</v>
      </c>
      <c r="H29" s="32">
        <f t="shared" si="2"/>
        <v>0</v>
      </c>
      <c r="I29" s="32">
        <f t="shared" si="2"/>
        <v>0</v>
      </c>
      <c r="J29" s="32">
        <f t="shared" si="2"/>
        <v>0</v>
      </c>
      <c r="K29" s="32">
        <f t="shared" si="2"/>
        <v>0</v>
      </c>
      <c r="L29" s="32">
        <f t="shared" si="2"/>
        <v>-4919495.461699481</v>
      </c>
      <c r="M29" s="32">
        <f t="shared" si="2"/>
        <v>0</v>
      </c>
      <c r="N29" s="32">
        <f t="shared" si="2"/>
        <v>0</v>
      </c>
      <c r="O29" s="32">
        <f t="shared" si="2"/>
        <v>0</v>
      </c>
      <c r="P29" s="24"/>
    </row>
    <row r="30" spans="2:15" ht="15">
      <c r="B30" s="26" t="s">
        <v>150</v>
      </c>
      <c r="C30" s="31"/>
      <c r="D30" s="31"/>
      <c r="E30" s="35">
        <f aca="true" t="shared" si="3" ref="E30:O30">SUM(E13,E20,E29)</f>
        <v>0</v>
      </c>
      <c r="F30" s="35">
        <f t="shared" si="3"/>
        <v>1940327.694836013</v>
      </c>
      <c r="G30" s="35">
        <f t="shared" si="3"/>
        <v>2542234.559530329</v>
      </c>
      <c r="H30" s="35">
        <f t="shared" si="3"/>
        <v>3512839.194801039</v>
      </c>
      <c r="I30" s="35">
        <f t="shared" si="3"/>
        <v>4615419.34221136</v>
      </c>
      <c r="J30" s="35">
        <f t="shared" si="3"/>
        <v>5369405.718860878</v>
      </c>
      <c r="K30" s="35">
        <f t="shared" si="3"/>
        <v>9483064.842297211</v>
      </c>
      <c r="L30" s="35">
        <f t="shared" si="3"/>
        <v>10409287.158735897</v>
      </c>
      <c r="M30" s="35">
        <f t="shared" si="3"/>
        <v>11409679.869296491</v>
      </c>
      <c r="N30" s="35">
        <f t="shared" si="3"/>
        <v>14078221.157546928</v>
      </c>
      <c r="O30" s="35">
        <f t="shared" si="3"/>
        <v>15256849.230749656</v>
      </c>
    </row>
    <row r="31" spans="2:15" ht="15">
      <c r="B31" s="10" t="s">
        <v>139</v>
      </c>
      <c r="E31">
        <v>0</v>
      </c>
      <c r="F31" s="25">
        <f>+E32</f>
        <v>0</v>
      </c>
      <c r="G31" s="25">
        <f aca="true" t="shared" si="4" ref="G31:O31">+F32</f>
        <v>1940327.694836013</v>
      </c>
      <c r="H31" s="25">
        <f t="shared" si="4"/>
        <v>4482562.254366342</v>
      </c>
      <c r="I31" s="25">
        <f t="shared" si="4"/>
        <v>7995401.449167381</v>
      </c>
      <c r="J31" s="25">
        <f t="shared" si="4"/>
        <v>12610820.79137874</v>
      </c>
      <c r="K31" s="25">
        <f t="shared" si="4"/>
        <v>17980226.510239616</v>
      </c>
      <c r="L31" s="25">
        <f t="shared" si="4"/>
        <v>27463291.352536827</v>
      </c>
      <c r="M31" s="25">
        <f t="shared" si="4"/>
        <v>37872578.51127273</v>
      </c>
      <c r="N31" s="25">
        <f t="shared" si="4"/>
        <v>49282258.38056922</v>
      </c>
      <c r="O31" s="25">
        <f t="shared" si="4"/>
        <v>63360479.53811615</v>
      </c>
    </row>
    <row r="32" spans="2:15" ht="15">
      <c r="B32" s="26" t="s">
        <v>140</v>
      </c>
      <c r="C32" s="31"/>
      <c r="D32" s="31"/>
      <c r="E32" s="25"/>
      <c r="F32" s="35">
        <f>SUM(F30:F31)</f>
        <v>1940327.694836013</v>
      </c>
      <c r="G32" s="35">
        <f aca="true" t="shared" si="5" ref="G32:O32">SUM(G30:G31)</f>
        <v>4482562.254366342</v>
      </c>
      <c r="H32" s="35">
        <f t="shared" si="5"/>
        <v>7995401.449167381</v>
      </c>
      <c r="I32" s="35">
        <f t="shared" si="5"/>
        <v>12610820.79137874</v>
      </c>
      <c r="J32" s="35">
        <f t="shared" si="5"/>
        <v>17980226.510239616</v>
      </c>
      <c r="K32" s="35">
        <f t="shared" si="5"/>
        <v>27463291.352536827</v>
      </c>
      <c r="L32" s="35">
        <f t="shared" si="5"/>
        <v>37872578.51127273</v>
      </c>
      <c r="M32" s="35">
        <f t="shared" si="5"/>
        <v>49282258.38056922</v>
      </c>
      <c r="N32" s="35">
        <f t="shared" si="5"/>
        <v>63360479.53811615</v>
      </c>
      <c r="O32" s="35">
        <f t="shared" si="5"/>
        <v>78617328.76886581</v>
      </c>
    </row>
    <row r="33" spans="5:15" ht="15">
      <c r="E33" s="53"/>
      <c r="F33" s="54"/>
      <c r="G33" s="54">
        <f>+G32-'Balance sheet'!G15</f>
        <v>0</v>
      </c>
      <c r="H33" s="54">
        <f>+H32-'Balance sheet'!H15</f>
        <v>0</v>
      </c>
      <c r="I33" s="54">
        <f>+I32-'Balance sheet'!I15</f>
        <v>0</v>
      </c>
      <c r="J33" s="54">
        <f>+J32-'Balance sheet'!J15</f>
        <v>0</v>
      </c>
      <c r="K33" s="54">
        <f>+K32-'Balance sheet'!K15</f>
        <v>0</v>
      </c>
      <c r="L33" s="54">
        <f>+L32-'Balance sheet'!L15</f>
        <v>0</v>
      </c>
      <c r="M33" s="54">
        <f>+M32-'Balance sheet'!M15</f>
        <v>0</v>
      </c>
      <c r="N33" s="54">
        <f>+N32-'Balance sheet'!N15</f>
        <v>0</v>
      </c>
      <c r="O33" s="54">
        <f>+O32-'Balance sheet'!O15</f>
        <v>0</v>
      </c>
    </row>
    <row r="34" spans="5:15" ht="15">
      <c r="E34" s="25">
        <f>+E32*2</f>
        <v>0</v>
      </c>
      <c r="F34" t="str">
        <f>IF(ABS(F32-'Balance sheet'!F15&lt;0.01),"Yes","No")</f>
        <v>Yes</v>
      </c>
      <c r="G34" t="str">
        <f>IF(ABS(G32-'Balance sheet'!G15&lt;0.01),"Yes","No")</f>
        <v>Yes</v>
      </c>
      <c r="H34" t="str">
        <f>IF(ABS(H32-'Balance sheet'!H15&lt;0.01),"Yes","No")</f>
        <v>Yes</v>
      </c>
      <c r="I34" t="str">
        <f>IF(ABS(I32-'Balance sheet'!I15&lt;0.01),"Yes","No")</f>
        <v>Yes</v>
      </c>
      <c r="J34" t="str">
        <f>IF(ABS(J32-'Balance sheet'!J15&lt;0.01),"Yes","No")</f>
        <v>Yes</v>
      </c>
      <c r="K34" t="str">
        <f>IF(ABS(K32-'Balance sheet'!K15&lt;0.01),"Yes","No")</f>
        <v>Yes</v>
      </c>
      <c r="L34" t="str">
        <f>IF(ABS(L32-'Balance sheet'!L15&lt;0.01),"Yes","No")</f>
        <v>Yes</v>
      </c>
      <c r="M34" t="str">
        <f>IF(ABS(M32-'Balance sheet'!M15&lt;0.01),"Yes","No")</f>
        <v>Yes</v>
      </c>
      <c r="N34" t="str">
        <f>IF(ABS(N32-'Balance sheet'!N15&lt;0.01),"Yes","No")</f>
        <v>Yes</v>
      </c>
      <c r="O34" t="str">
        <f>IF(ABS(O32-'Balance sheet'!O15&lt;0.01),"Yes","No")</f>
        <v>Yes</v>
      </c>
    </row>
    <row r="35" ht="15">
      <c r="E35" s="36">
        <f>+F33-E34</f>
        <v>0</v>
      </c>
    </row>
    <row r="36" spans="2:15" ht="15">
      <c r="B36" s="31" t="s">
        <v>168</v>
      </c>
      <c r="E36" s="25">
        <f>IF(E6=0,E29,(E30+-E20))</f>
        <v>-20850000</v>
      </c>
      <c r="F36" s="25">
        <f aca="true" t="shared" si="6" ref="F36:O36">IF(F6=0,F29,(F30+-F20))</f>
        <v>6780483.872458002</v>
      </c>
      <c r="G36" s="25">
        <f t="shared" si="6"/>
        <v>7382390.737152318</v>
      </c>
      <c r="H36" s="25">
        <f t="shared" si="6"/>
        <v>8352995.372423028</v>
      </c>
      <c r="I36" s="25">
        <f t="shared" si="6"/>
        <v>9455575.519833349</v>
      </c>
      <c r="J36" s="25">
        <f t="shared" si="6"/>
        <v>10209561.896482866</v>
      </c>
      <c r="K36" s="25">
        <f t="shared" si="6"/>
        <v>11065626.403510991</v>
      </c>
      <c r="L36" s="25">
        <f t="shared" si="6"/>
        <v>7072353.2582501955</v>
      </c>
      <c r="M36" s="25">
        <f t="shared" si="6"/>
        <v>12992241.430510271</v>
      </c>
      <c r="N36" s="25">
        <f t="shared" si="6"/>
        <v>14078221.157546928</v>
      </c>
      <c r="O36" s="25">
        <f t="shared" si="6"/>
        <v>15256849.230749656</v>
      </c>
    </row>
  </sheetData>
  <sheetProtection/>
  <printOptions/>
  <pageMargins left="0.7" right="0.7" top="0.75" bottom="0.75" header="0.3" footer="0.3"/>
  <pageSetup fitToHeight="1" fitToWidth="1" horizontalDpi="600" verticalDpi="600" orientation="landscape" scale="63" r:id="rId1"/>
</worksheet>
</file>

<file path=xl/worksheets/sheet12.xml><?xml version="1.0" encoding="utf-8"?>
<worksheet xmlns="http://schemas.openxmlformats.org/spreadsheetml/2006/main" xmlns:r="http://schemas.openxmlformats.org/officeDocument/2006/relationships">
  <dimension ref="B1:D9"/>
  <sheetViews>
    <sheetView zoomScalePageLayoutView="0" workbookViewId="0" topLeftCell="A1">
      <selection activeCell="C8" sqref="C8"/>
    </sheetView>
  </sheetViews>
  <sheetFormatPr defaultColWidth="9.140625" defaultRowHeight="15"/>
  <cols>
    <col min="2" max="2" width="39.28125" style="0" customWidth="1"/>
    <col min="3" max="3" width="13.57421875" style="0" customWidth="1"/>
  </cols>
  <sheetData>
    <row r="1" spans="2:4" ht="18.75">
      <c r="B1" s="30" t="s">
        <v>119</v>
      </c>
      <c r="C1" s="30"/>
      <c r="D1" s="30"/>
    </row>
    <row r="2" spans="2:4" ht="18.75">
      <c r="B2" s="30" t="s">
        <v>157</v>
      </c>
      <c r="C2" s="18"/>
      <c r="D2" s="18"/>
    </row>
    <row r="4" ht="15">
      <c r="B4" t="s">
        <v>151</v>
      </c>
    </row>
    <row r="5" spans="2:3" ht="15">
      <c r="B5" t="s">
        <v>152</v>
      </c>
      <c r="C5">
        <f>'Data input'!$C$4*(1-'Data input'!$C$9)</f>
        <v>0.06999999999999999</v>
      </c>
    </row>
    <row r="6" spans="2:3" ht="15">
      <c r="B6" t="s">
        <v>153</v>
      </c>
      <c r="C6" s="55">
        <f>'Financing '!$E$10/'Financing '!$E$9</f>
        <v>4.000000000000001</v>
      </c>
    </row>
    <row r="7" ht="15">
      <c r="B7" t="s">
        <v>154</v>
      </c>
    </row>
    <row r="8" spans="2:3" ht="15">
      <c r="B8" t="s">
        <v>155</v>
      </c>
      <c r="C8" s="4">
        <f>'Data input'!$C$8</f>
        <v>0.18</v>
      </c>
    </row>
    <row r="9" spans="2:3" ht="15">
      <c r="B9" t="s">
        <v>156</v>
      </c>
      <c r="C9" s="56">
        <f>(C5*'Data input'!C45)+('Data input'!C46*WACC!C8)</f>
        <v>0.09199999999999998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C1:P38"/>
  <sheetViews>
    <sheetView zoomScalePageLayoutView="0" workbookViewId="0" topLeftCell="C14">
      <selection activeCell="H20" sqref="H20"/>
    </sheetView>
  </sheetViews>
  <sheetFormatPr defaultColWidth="9.140625" defaultRowHeight="15"/>
  <cols>
    <col min="5" max="5" width="16.7109375" style="0" customWidth="1"/>
    <col min="7" max="7" width="17.57421875" style="0" customWidth="1"/>
    <col min="8" max="8" width="11.28125" style="0" customWidth="1"/>
    <col min="9" max="9" width="11.57421875" style="0" customWidth="1"/>
    <col min="10" max="16" width="9.7109375" style="0" bestFit="1" customWidth="1"/>
  </cols>
  <sheetData>
    <row r="1" spans="3:16" ht="18.75">
      <c r="C1" s="30" t="s">
        <v>119</v>
      </c>
      <c r="D1" s="30"/>
      <c r="E1" s="30"/>
      <c r="F1" s="18"/>
      <c r="G1" s="18"/>
      <c r="H1" s="18"/>
      <c r="I1" s="18"/>
      <c r="J1" s="18"/>
      <c r="K1" s="18"/>
      <c r="L1" s="18"/>
      <c r="M1" s="18"/>
      <c r="N1" s="18"/>
      <c r="O1" s="18"/>
      <c r="P1" s="18"/>
    </row>
    <row r="2" spans="3:16" ht="18.75">
      <c r="C2" s="30" t="s">
        <v>118</v>
      </c>
      <c r="D2" s="18"/>
      <c r="E2" s="18"/>
      <c r="F2" s="18"/>
      <c r="G2" s="18"/>
      <c r="H2" s="18"/>
      <c r="I2" s="18"/>
      <c r="J2" s="18"/>
      <c r="K2" s="18"/>
      <c r="L2" s="18"/>
      <c r="M2" s="18"/>
      <c r="N2" s="18"/>
      <c r="O2" s="18"/>
      <c r="P2" s="18"/>
    </row>
    <row r="3" spans="3:16" ht="15">
      <c r="C3" s="18"/>
      <c r="D3" s="18"/>
      <c r="E3" s="18"/>
      <c r="F3" s="18"/>
      <c r="G3" s="18"/>
      <c r="H3" s="18"/>
      <c r="I3" s="18"/>
      <c r="J3" s="18"/>
      <c r="K3" s="18"/>
      <c r="L3" s="18"/>
      <c r="M3" s="18"/>
      <c r="N3" s="18"/>
      <c r="O3" s="18"/>
      <c r="P3" s="18"/>
    </row>
    <row r="4" spans="3:16" ht="15">
      <c r="C4" s="31" t="s">
        <v>52</v>
      </c>
      <c r="E4" s="33" t="s">
        <v>54</v>
      </c>
      <c r="F4" s="13">
        <f>'Data input'!$C$13</f>
        <v>42005</v>
      </c>
      <c r="G4" s="13">
        <f>F4+'Data input'!$C$15+1</f>
        <v>42371</v>
      </c>
      <c r="H4" s="13">
        <f>G4+'Data input'!$C$15+1</f>
        <v>42737</v>
      </c>
      <c r="I4" s="13">
        <f>H4+'Data input'!$C$15+1</f>
        <v>43103</v>
      </c>
      <c r="J4" s="13">
        <f>I4+'Data input'!$C$15+1</f>
        <v>43469</v>
      </c>
      <c r="K4" s="13">
        <f>J4+'Data input'!$C$15+1</f>
        <v>43835</v>
      </c>
      <c r="L4" s="13">
        <f>K4+'Data input'!$C$15+1</f>
        <v>44201</v>
      </c>
      <c r="M4" s="13">
        <f>L4+'Data input'!$C$15+1</f>
        <v>44567</v>
      </c>
      <c r="N4" s="13">
        <f>M4+'Data input'!$C$15+1</f>
        <v>44933</v>
      </c>
      <c r="O4" s="13">
        <f>N4+'Data input'!$C$15+1</f>
        <v>45299</v>
      </c>
      <c r="P4" s="13">
        <f>O4+'Data input'!$C$15+1</f>
        <v>45665</v>
      </c>
    </row>
    <row r="5" spans="5:16" ht="15">
      <c r="E5" s="31"/>
      <c r="F5" s="13">
        <f>F4+'Data input'!$C$15-1</f>
        <v>42369</v>
      </c>
      <c r="G5" s="13">
        <f>G4+'Data input'!$C$15-G6</f>
        <v>42735</v>
      </c>
      <c r="H5" s="13">
        <f>H4+'Data input'!$C$15-H6</f>
        <v>43100</v>
      </c>
      <c r="I5" s="13">
        <f>I4+'Data input'!$C$15-I6</f>
        <v>43465</v>
      </c>
      <c r="J5" s="13">
        <f>J4+'Data input'!$C$15-J6</f>
        <v>43830</v>
      </c>
      <c r="K5" s="13">
        <f>K4+'Data input'!$C$15-K6</f>
        <v>44195</v>
      </c>
      <c r="L5" s="13">
        <f>L4+'Data input'!$C$15-L6</f>
        <v>44560</v>
      </c>
      <c r="M5" s="13">
        <f>M4+'Data input'!$C$15-M6</f>
        <v>44925</v>
      </c>
      <c r="N5" s="13">
        <f>N4+'Data input'!$C$15-N6</f>
        <v>45290</v>
      </c>
      <c r="O5" s="13">
        <f>O4+'Data input'!$C$15-O6</f>
        <v>45655</v>
      </c>
      <c r="P5" s="13">
        <f>P4+'Data input'!$C$15-P6</f>
        <v>46020</v>
      </c>
    </row>
    <row r="6" spans="6:16" ht="15">
      <c r="F6">
        <v>0</v>
      </c>
      <c r="G6">
        <v>1</v>
      </c>
      <c r="H6">
        <v>2</v>
      </c>
      <c r="I6">
        <v>3</v>
      </c>
      <c r="J6">
        <v>4</v>
      </c>
      <c r="K6">
        <v>5</v>
      </c>
      <c r="L6">
        <v>6</v>
      </c>
      <c r="M6">
        <v>7</v>
      </c>
      <c r="N6">
        <v>8</v>
      </c>
      <c r="O6">
        <v>9</v>
      </c>
      <c r="P6">
        <v>10</v>
      </c>
    </row>
    <row r="7" ht="15.75">
      <c r="C7" s="51" t="s">
        <v>132</v>
      </c>
    </row>
    <row r="8" spans="3:16" ht="15">
      <c r="C8" t="s">
        <v>133</v>
      </c>
      <c r="G8" s="25">
        <f>+'P &amp; L'!F21</f>
        <v>2170380.9699196913</v>
      </c>
      <c r="H8" s="25">
        <f>+'P &amp; L'!G21</f>
        <v>3320797.2660911754</v>
      </c>
      <c r="I8" s="25"/>
      <c r="J8" s="25"/>
      <c r="K8" s="25"/>
      <c r="L8" s="25"/>
      <c r="M8" s="25"/>
      <c r="N8" s="25"/>
      <c r="O8" s="25"/>
      <c r="P8" s="25"/>
    </row>
    <row r="9" spans="3:16" ht="15">
      <c r="C9" t="s">
        <v>134</v>
      </c>
      <c r="G9" s="25">
        <f>+'P &amp; L'!F16</f>
        <v>2485000</v>
      </c>
      <c r="H9" s="25">
        <f>+'P &amp; L'!G16</f>
        <v>2485000</v>
      </c>
      <c r="I9" s="25"/>
      <c r="J9" s="25"/>
      <c r="K9" s="25"/>
      <c r="L9" s="25"/>
      <c r="M9" s="25"/>
      <c r="N9" s="25"/>
      <c r="O9" s="25"/>
      <c r="P9" s="25"/>
    </row>
    <row r="10" spans="3:16" ht="15">
      <c r="C10" t="s">
        <v>146</v>
      </c>
      <c r="G10" s="25">
        <f>+'P &amp; L'!F20</f>
        <v>1834800</v>
      </c>
      <c r="H10" s="25">
        <f>+'P &amp; L'!G20</f>
        <v>1534264.3822378013</v>
      </c>
      <c r="I10" s="25"/>
      <c r="J10" s="25"/>
      <c r="K10" s="25"/>
      <c r="L10" s="25"/>
      <c r="M10" s="25"/>
      <c r="N10" s="25"/>
      <c r="O10" s="25"/>
      <c r="P10" s="25"/>
    </row>
    <row r="11" spans="3:16" ht="15">
      <c r="C11" t="s">
        <v>135</v>
      </c>
      <c r="G11" s="25">
        <f>+'Balance sheet'!E14-'Balance sheet'!F14</f>
        <v>-1588339.0965222493</v>
      </c>
      <c r="H11" s="25">
        <f>+'Balance sheet'!F14-'Balance sheet'!G14</f>
        <v>-212305.22450519772</v>
      </c>
      <c r="I11" s="25"/>
      <c r="J11" s="25"/>
      <c r="K11" s="25"/>
      <c r="L11" s="25"/>
      <c r="M11" s="25"/>
      <c r="N11" s="25"/>
      <c r="O11" s="25"/>
      <c r="P11" s="25"/>
    </row>
    <row r="12" spans="3:16" ht="15">
      <c r="C12" t="s">
        <v>136</v>
      </c>
      <c r="G12" s="25">
        <f>+'Balance sheet'!E19+'Balance sheet'!F19</f>
        <v>1878641.9990605605</v>
      </c>
      <c r="H12" s="25">
        <f>+'Balance sheet'!G19-'Balance sheet'!F19</f>
        <v>254634.3133285381</v>
      </c>
      <c r="I12" s="25"/>
      <c r="J12" s="25"/>
      <c r="K12" s="25"/>
      <c r="L12" s="25"/>
      <c r="M12" s="25"/>
      <c r="N12" s="25"/>
      <c r="O12" s="25"/>
      <c r="P12" s="25"/>
    </row>
    <row r="13" spans="3:16" ht="15">
      <c r="C13" s="31" t="s">
        <v>137</v>
      </c>
      <c r="D13" s="31"/>
      <c r="E13" s="31"/>
      <c r="F13" s="31"/>
      <c r="G13" s="32">
        <f>SUM(G8:G12)</f>
        <v>6780483.872458002</v>
      </c>
      <c r="H13" s="32">
        <f aca="true" t="shared" si="0" ref="H13:P13">SUM(H8:H12)</f>
        <v>7382390.737152318</v>
      </c>
      <c r="I13" s="32">
        <f t="shared" si="0"/>
        <v>0</v>
      </c>
      <c r="J13" s="32">
        <f t="shared" si="0"/>
        <v>0</v>
      </c>
      <c r="K13" s="32">
        <f t="shared" si="0"/>
        <v>0</v>
      </c>
      <c r="L13" s="32">
        <f t="shared" si="0"/>
        <v>0</v>
      </c>
      <c r="M13" s="32">
        <f t="shared" si="0"/>
        <v>0</v>
      </c>
      <c r="N13" s="32">
        <f t="shared" si="0"/>
        <v>0</v>
      </c>
      <c r="O13" s="32">
        <f t="shared" si="0"/>
        <v>0</v>
      </c>
      <c r="P13" s="32">
        <f t="shared" si="0"/>
        <v>0</v>
      </c>
    </row>
    <row r="14" spans="3:16" ht="15">
      <c r="C14" s="31"/>
      <c r="D14" s="31"/>
      <c r="E14" s="31"/>
      <c r="F14" s="31"/>
      <c r="G14" s="32"/>
      <c r="H14" s="32"/>
      <c r="I14" s="32"/>
      <c r="J14" s="32"/>
      <c r="K14" s="32"/>
      <c r="L14" s="32"/>
      <c r="M14" s="32"/>
      <c r="N14" s="32"/>
      <c r="O14" s="32"/>
      <c r="P14" s="32"/>
    </row>
    <row r="15" spans="3:16" ht="15.75">
      <c r="C15" s="51" t="s">
        <v>131</v>
      </c>
      <c r="G15" s="25"/>
      <c r="H15" s="25"/>
      <c r="I15" s="25"/>
      <c r="J15" s="25"/>
      <c r="K15" s="25"/>
      <c r="L15" s="25"/>
      <c r="M15" s="25"/>
      <c r="N15" s="25"/>
      <c r="O15" s="25"/>
      <c r="P15" s="25"/>
    </row>
    <row r="16" spans="3:16" ht="15.75">
      <c r="C16" s="52" t="s">
        <v>12</v>
      </c>
      <c r="F16" s="25">
        <f>'Financing '!F9</f>
        <v>0</v>
      </c>
      <c r="G16" s="25">
        <f>+'Financing '!E9</f>
        <v>4169999.999999999</v>
      </c>
      <c r="H16" s="25"/>
      <c r="I16" s="25"/>
      <c r="J16" s="25"/>
      <c r="K16" s="25"/>
      <c r="L16" s="25"/>
      <c r="M16" s="25"/>
      <c r="N16" s="25"/>
      <c r="O16" s="25"/>
      <c r="P16" s="25"/>
    </row>
    <row r="17" spans="3:16" ht="15.75">
      <c r="C17" s="52" t="s">
        <v>11</v>
      </c>
      <c r="F17" s="25">
        <f>'Financing '!F10</f>
        <v>0</v>
      </c>
      <c r="G17" s="25">
        <f>+'Financing '!E10</f>
        <v>16680000</v>
      </c>
      <c r="H17" s="25"/>
      <c r="I17" s="25"/>
      <c r="J17" s="25"/>
      <c r="K17" s="25"/>
      <c r="L17" s="25"/>
      <c r="M17" s="25"/>
      <c r="N17" s="25"/>
      <c r="O17" s="25"/>
      <c r="P17" s="25"/>
    </row>
    <row r="18" spans="3:16" ht="15.75">
      <c r="C18" s="52" t="s">
        <v>147</v>
      </c>
      <c r="G18" s="25">
        <f>-'Financing '!F16</f>
        <v>-1834800</v>
      </c>
      <c r="H18" s="25">
        <f>-'Financing '!G16</f>
        <v>-1534264.3822378013</v>
      </c>
      <c r="I18" s="25"/>
      <c r="J18" s="25"/>
      <c r="K18" s="25"/>
      <c r="L18" s="25"/>
      <c r="M18" s="25"/>
      <c r="N18" s="25"/>
      <c r="O18" s="25"/>
      <c r="P18" s="25"/>
    </row>
    <row r="19" spans="3:16" ht="15.75">
      <c r="C19" s="52" t="s">
        <v>148</v>
      </c>
      <c r="G19" s="25">
        <f>-'Financing '!F15</f>
        <v>-3005356.177621986</v>
      </c>
      <c r="H19" s="25">
        <f>-'Financing '!G15</f>
        <v>-3305891.7953841845</v>
      </c>
      <c r="I19" s="25"/>
      <c r="J19" s="25"/>
      <c r="K19" s="25"/>
      <c r="L19" s="25"/>
      <c r="M19" s="25"/>
      <c r="N19" s="25"/>
      <c r="O19" s="25"/>
      <c r="P19" s="25"/>
    </row>
    <row r="20" spans="3:16" ht="15.75">
      <c r="C20" s="51" t="s">
        <v>138</v>
      </c>
      <c r="D20" s="31"/>
      <c r="E20" s="31"/>
      <c r="F20" s="32">
        <f>SUM(F16:F19)</f>
        <v>0</v>
      </c>
      <c r="G20" s="32">
        <f>SUM(G16:G19)</f>
        <v>16009843.822378013</v>
      </c>
      <c r="H20" s="32">
        <f aca="true" t="shared" si="1" ref="H20:P20">SUM(H16:H19)</f>
        <v>-4840156.177621986</v>
      </c>
      <c r="I20" s="32">
        <f t="shared" si="1"/>
        <v>0</v>
      </c>
      <c r="J20" s="32">
        <f t="shared" si="1"/>
        <v>0</v>
      </c>
      <c r="K20" s="32">
        <f t="shared" si="1"/>
        <v>0</v>
      </c>
      <c r="L20" s="32">
        <f t="shared" si="1"/>
        <v>0</v>
      </c>
      <c r="M20" s="32">
        <f t="shared" si="1"/>
        <v>0</v>
      </c>
      <c r="N20" s="32">
        <f t="shared" si="1"/>
        <v>0</v>
      </c>
      <c r="O20" s="32">
        <f t="shared" si="1"/>
        <v>0</v>
      </c>
      <c r="P20" s="32">
        <f t="shared" si="1"/>
        <v>0</v>
      </c>
    </row>
    <row r="21" spans="3:16" ht="15.75">
      <c r="C21" s="51"/>
      <c r="G21" s="25"/>
      <c r="H21" s="25"/>
      <c r="I21" s="25"/>
      <c r="J21" s="25"/>
      <c r="K21" s="25"/>
      <c r="L21" s="25"/>
      <c r="M21" s="25"/>
      <c r="N21" s="25"/>
      <c r="O21" s="25"/>
      <c r="P21" s="25"/>
    </row>
    <row r="22" spans="3:16" ht="15.75">
      <c r="C22" s="51" t="s">
        <v>130</v>
      </c>
      <c r="G22" s="25"/>
      <c r="H22" s="25"/>
      <c r="I22" s="25"/>
      <c r="J22" s="25"/>
      <c r="K22" s="25"/>
      <c r="L22" s="25"/>
      <c r="M22" s="25"/>
      <c r="N22" s="25"/>
      <c r="O22" s="25"/>
      <c r="P22" s="25"/>
    </row>
    <row r="23" spans="3:16" ht="15">
      <c r="C23" s="23" t="s">
        <v>43</v>
      </c>
      <c r="F23" s="25">
        <f>'Capital investment'!E9</f>
        <v>0</v>
      </c>
      <c r="G23" s="6">
        <f>-'Capital investment'!D9</f>
        <v>-1000000</v>
      </c>
      <c r="H23" s="25">
        <f>'Capital investment'!F9</f>
        <v>0</v>
      </c>
      <c r="I23" s="25">
        <f>'Capital investment'!G9</f>
        <v>0</v>
      </c>
      <c r="J23" s="25">
        <f>'Capital investment'!H9</f>
        <v>0</v>
      </c>
      <c r="K23" s="25">
        <f>'Capital investment'!I9</f>
        <v>0</v>
      </c>
      <c r="L23" s="25">
        <f>'Capital investment'!J9</f>
        <v>0</v>
      </c>
      <c r="M23" s="25">
        <f>'Capital investment'!K9</f>
        <v>0</v>
      </c>
      <c r="N23" s="25">
        <f>'Capital investment'!L9</f>
        <v>0</v>
      </c>
      <c r="O23" s="25">
        <f>'Capital investment'!M9</f>
        <v>0</v>
      </c>
      <c r="P23" s="25">
        <f>'Capital investment'!N9</f>
        <v>0</v>
      </c>
    </row>
    <row r="24" spans="3:16" ht="15">
      <c r="C24" s="10" t="s">
        <v>71</v>
      </c>
      <c r="F24" s="25">
        <f>'Capital investment'!E10</f>
        <v>0</v>
      </c>
      <c r="G24" s="6">
        <f>-'Capital investment'!D10</f>
        <v>-14500000</v>
      </c>
      <c r="H24" s="25">
        <f>'Capital investment'!F10</f>
        <v>0</v>
      </c>
      <c r="I24" s="25">
        <f>'Capital investment'!G10</f>
        <v>0</v>
      </c>
      <c r="J24" s="25">
        <f>'Capital investment'!H10</f>
        <v>0</v>
      </c>
      <c r="K24" s="25" t="str">
        <f>'Capital investment'!I10</f>
        <v>-</v>
      </c>
      <c r="L24" s="25">
        <f>'Capital investment'!J10</f>
        <v>0</v>
      </c>
      <c r="M24" s="25">
        <f>'Capital investment'!K10</f>
        <v>0</v>
      </c>
      <c r="N24" s="25">
        <f>'Capital investment'!L10</f>
        <v>0</v>
      </c>
      <c r="O24" s="25">
        <f>'Capital investment'!M10</f>
        <v>0</v>
      </c>
      <c r="P24" s="25">
        <f>'Capital investment'!N10</f>
        <v>0</v>
      </c>
    </row>
    <row r="25" spans="3:16" ht="15">
      <c r="C25" s="10" t="s">
        <v>69</v>
      </c>
      <c r="F25" s="25"/>
      <c r="G25" s="25">
        <f>-'Capital investment'!D11</f>
        <v>-4000000</v>
      </c>
      <c r="H25" s="25"/>
      <c r="I25" s="25"/>
      <c r="J25" s="25"/>
      <c r="K25" s="25"/>
      <c r="L25" s="25"/>
      <c r="M25" s="25"/>
      <c r="N25" s="25"/>
      <c r="O25" s="25"/>
      <c r="P25" s="25"/>
    </row>
    <row r="26" spans="3:16" ht="15">
      <c r="C26" s="10" t="s">
        <v>44</v>
      </c>
      <c r="F26" s="25"/>
      <c r="G26" s="6">
        <f>-'Capital investment'!D12</f>
        <v>-250000</v>
      </c>
      <c r="H26" s="25"/>
      <c r="I26" s="25"/>
      <c r="J26" s="25"/>
      <c r="K26" s="25"/>
      <c r="L26" s="25"/>
      <c r="M26" s="25"/>
      <c r="N26" s="25"/>
      <c r="O26" s="25"/>
      <c r="P26" s="25"/>
    </row>
    <row r="27" spans="3:16" ht="15">
      <c r="C27" s="10" t="s">
        <v>46</v>
      </c>
      <c r="F27" s="25"/>
      <c r="G27" s="6">
        <f>-'Capital investment'!D13</f>
        <v>-1000000</v>
      </c>
      <c r="I27" s="25"/>
      <c r="J27" s="25"/>
      <c r="K27" s="25"/>
      <c r="L27" s="25"/>
      <c r="M27" s="25"/>
      <c r="N27" s="25"/>
      <c r="O27" s="25"/>
      <c r="P27" s="25"/>
    </row>
    <row r="28" spans="3:16" ht="15">
      <c r="C28" s="10" t="s">
        <v>47</v>
      </c>
      <c r="F28" s="25"/>
      <c r="G28" s="6">
        <f>-'Capital investment'!D14</f>
        <v>-100000</v>
      </c>
      <c r="H28" s="25"/>
      <c r="I28" s="25"/>
      <c r="J28" s="25"/>
      <c r="K28" s="25"/>
      <c r="L28" s="25"/>
      <c r="M28" s="25"/>
      <c r="N28" s="25"/>
      <c r="O28" s="25"/>
      <c r="P28" s="25"/>
    </row>
    <row r="29" spans="3:16" ht="15">
      <c r="C29" s="26" t="s">
        <v>49</v>
      </c>
      <c r="D29" s="31"/>
      <c r="E29" s="31"/>
      <c r="F29" s="32"/>
      <c r="G29" s="32">
        <f>SUM(G23:G28)</f>
        <v>-20850000</v>
      </c>
      <c r="H29" s="32"/>
      <c r="I29" s="32"/>
      <c r="J29" s="32"/>
      <c r="K29" s="32"/>
      <c r="L29" s="32"/>
      <c r="M29" s="32"/>
      <c r="N29" s="32"/>
      <c r="O29" s="32"/>
      <c r="P29" s="32"/>
    </row>
    <row r="30" spans="3:16" ht="15">
      <c r="C30" s="26" t="s">
        <v>143</v>
      </c>
      <c r="D30" s="31"/>
      <c r="E30" s="31"/>
      <c r="F30" s="35">
        <f aca="true" t="shared" si="2" ref="F30:P30">SUM(F13,F20,F29)</f>
        <v>0</v>
      </c>
      <c r="G30" s="35">
        <f t="shared" si="2"/>
        <v>1940327.694836013</v>
      </c>
      <c r="H30" s="35">
        <f t="shared" si="2"/>
        <v>2542234.559530329</v>
      </c>
      <c r="I30" s="35">
        <f t="shared" si="2"/>
        <v>0</v>
      </c>
      <c r="J30" s="35">
        <f t="shared" si="2"/>
        <v>0</v>
      </c>
      <c r="K30" s="35">
        <f t="shared" si="2"/>
        <v>0</v>
      </c>
      <c r="L30" s="35">
        <f t="shared" si="2"/>
        <v>0</v>
      </c>
      <c r="M30" s="35">
        <f t="shared" si="2"/>
        <v>0</v>
      </c>
      <c r="N30" s="35">
        <f t="shared" si="2"/>
        <v>0</v>
      </c>
      <c r="O30" s="35">
        <f t="shared" si="2"/>
        <v>0</v>
      </c>
      <c r="P30" s="35">
        <f t="shared" si="2"/>
        <v>0</v>
      </c>
    </row>
    <row r="31" spans="3:16" ht="15">
      <c r="C31" s="26">
        <f>+'Reserve acc.'!C7</f>
        <v>0</v>
      </c>
      <c r="D31" s="31"/>
      <c r="E31" s="31"/>
      <c r="F31" s="35"/>
      <c r="G31" s="35"/>
      <c r="H31" s="35"/>
      <c r="I31" s="35"/>
      <c r="J31" s="35"/>
      <c r="K31" s="35"/>
      <c r="L31" s="35"/>
      <c r="M31" s="35"/>
      <c r="N31" s="35"/>
      <c r="O31" s="35"/>
      <c r="P31" s="35"/>
    </row>
    <row r="32" spans="3:16" ht="15">
      <c r="C32" s="26">
        <f>+'Reserve acc.'!C9</f>
        <v>0</v>
      </c>
      <c r="D32" s="31"/>
      <c r="E32" s="31"/>
      <c r="F32" s="35"/>
      <c r="G32" s="35"/>
      <c r="H32" s="35"/>
      <c r="I32" s="35"/>
      <c r="J32" s="35"/>
      <c r="K32" s="35"/>
      <c r="L32" s="35"/>
      <c r="M32" s="35"/>
      <c r="N32" s="35"/>
      <c r="O32" s="35"/>
      <c r="P32" s="35"/>
    </row>
    <row r="33" spans="3:16" ht="15">
      <c r="C33" s="26" t="s">
        <v>145</v>
      </c>
      <c r="D33" s="31"/>
      <c r="E33" s="31"/>
      <c r="F33" s="35">
        <f>F30-F31-F32</f>
        <v>0</v>
      </c>
      <c r="G33" s="35">
        <f aca="true" t="shared" si="3" ref="G33:P33">G30-G31-G32</f>
        <v>1940327.694836013</v>
      </c>
      <c r="H33" s="35">
        <f t="shared" si="3"/>
        <v>2542234.559530329</v>
      </c>
      <c r="I33" s="35">
        <f t="shared" si="3"/>
        <v>0</v>
      </c>
      <c r="J33" s="35">
        <f t="shared" si="3"/>
        <v>0</v>
      </c>
      <c r="K33" s="35">
        <f t="shared" si="3"/>
        <v>0</v>
      </c>
      <c r="L33" s="35">
        <f t="shared" si="3"/>
        <v>0</v>
      </c>
      <c r="M33" s="35">
        <f t="shared" si="3"/>
        <v>0</v>
      </c>
      <c r="N33" s="35">
        <f t="shared" si="3"/>
        <v>0</v>
      </c>
      <c r="O33" s="35">
        <f t="shared" si="3"/>
        <v>0</v>
      </c>
      <c r="P33" s="35">
        <f t="shared" si="3"/>
        <v>0</v>
      </c>
    </row>
    <row r="34" spans="3:16" ht="15">
      <c r="C34" s="10" t="s">
        <v>139</v>
      </c>
      <c r="G34" s="25">
        <f>+F35</f>
        <v>0</v>
      </c>
      <c r="H34" s="25">
        <f aca="true" t="shared" si="4" ref="H34:P34">+G35</f>
        <v>1940327.694836013</v>
      </c>
      <c r="I34" s="25">
        <f t="shared" si="4"/>
        <v>4482562.254366342</v>
      </c>
      <c r="J34" s="25">
        <f t="shared" si="4"/>
        <v>4482562.254366342</v>
      </c>
      <c r="K34" s="25">
        <f t="shared" si="4"/>
        <v>4482562.254366342</v>
      </c>
      <c r="L34" s="25">
        <f t="shared" si="4"/>
        <v>4482562.254366342</v>
      </c>
      <c r="M34" s="25">
        <f t="shared" si="4"/>
        <v>4482562.254366342</v>
      </c>
      <c r="N34" s="25">
        <f t="shared" si="4"/>
        <v>4482562.254366342</v>
      </c>
      <c r="O34" s="25">
        <f t="shared" si="4"/>
        <v>4482562.254366342</v>
      </c>
      <c r="P34" s="25">
        <f t="shared" si="4"/>
        <v>4482562.254366342</v>
      </c>
    </row>
    <row r="35" spans="3:16" ht="15">
      <c r="C35" s="26" t="s">
        <v>140</v>
      </c>
      <c r="D35" s="31"/>
      <c r="E35" s="31"/>
      <c r="F35" s="25">
        <f>+'Reserve acc.'!G12</f>
        <v>0</v>
      </c>
      <c r="G35" s="35">
        <f>+G33+G34</f>
        <v>1940327.694836013</v>
      </c>
      <c r="H35" s="35">
        <f aca="true" t="shared" si="5" ref="H35:P35">+H33+H34</f>
        <v>4482562.254366342</v>
      </c>
      <c r="I35" s="35">
        <f t="shared" si="5"/>
        <v>4482562.254366342</v>
      </c>
      <c r="J35" s="35">
        <f t="shared" si="5"/>
        <v>4482562.254366342</v>
      </c>
      <c r="K35" s="35">
        <f t="shared" si="5"/>
        <v>4482562.254366342</v>
      </c>
      <c r="L35" s="35">
        <f t="shared" si="5"/>
        <v>4482562.254366342</v>
      </c>
      <c r="M35" s="35">
        <f t="shared" si="5"/>
        <v>4482562.254366342</v>
      </c>
      <c r="N35" s="35">
        <f t="shared" si="5"/>
        <v>4482562.254366342</v>
      </c>
      <c r="O35" s="35">
        <f t="shared" si="5"/>
        <v>4482562.254366342</v>
      </c>
      <c r="P35" s="35">
        <f t="shared" si="5"/>
        <v>4482562.254366342</v>
      </c>
    </row>
    <row r="36" spans="6:16" ht="15">
      <c r="F36" s="53"/>
      <c r="G36" s="54"/>
      <c r="H36" s="54"/>
      <c r="I36" s="54"/>
      <c r="J36" s="54"/>
      <c r="K36" s="54"/>
      <c r="L36" s="54"/>
      <c r="M36" s="54"/>
      <c r="N36" s="54"/>
      <c r="O36" s="54"/>
      <c r="P36" s="54"/>
    </row>
    <row r="37" ht="15">
      <c r="F37" s="25">
        <f>+F35*2</f>
        <v>0</v>
      </c>
    </row>
    <row r="38" ht="15">
      <c r="F38" s="36">
        <f>+G36-F37</f>
        <v>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O20"/>
  <sheetViews>
    <sheetView zoomScalePageLayoutView="0" workbookViewId="0" topLeftCell="D1">
      <selection activeCell="D22" sqref="D22"/>
    </sheetView>
  </sheetViews>
  <sheetFormatPr defaultColWidth="9.140625" defaultRowHeight="15"/>
  <cols>
    <col min="2" max="2" width="35.57421875" style="0" bestFit="1" customWidth="1"/>
    <col min="4" max="4" width="15.28125" style="0" bestFit="1" customWidth="1"/>
    <col min="5" max="5" width="12.28125" style="0" customWidth="1"/>
    <col min="6" max="6" width="10.57421875" style="0" bestFit="1" customWidth="1"/>
    <col min="7" max="8" width="10.57421875" style="0" customWidth="1"/>
    <col min="9" max="10" width="10.57421875" style="0" bestFit="1" customWidth="1"/>
    <col min="11" max="15" width="11.57421875" style="0" bestFit="1" customWidth="1"/>
  </cols>
  <sheetData>
    <row r="1" spans="2:15" ht="18.75">
      <c r="B1" s="30" t="s">
        <v>119</v>
      </c>
      <c r="C1" s="30"/>
      <c r="D1" s="30"/>
      <c r="E1" s="18"/>
      <c r="F1" s="18"/>
      <c r="G1" s="18"/>
      <c r="H1" s="18"/>
      <c r="I1" s="18"/>
      <c r="J1" s="18"/>
      <c r="K1" s="18"/>
      <c r="L1" s="18"/>
      <c r="M1" s="18"/>
      <c r="N1" s="18"/>
      <c r="O1" s="18"/>
    </row>
    <row r="2" spans="2:15" ht="18.75">
      <c r="B2" s="30" t="s">
        <v>158</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C4" s="31"/>
      <c r="D4" s="33"/>
      <c r="E4" s="50">
        <f>'Data input'!$C$13</f>
        <v>42005</v>
      </c>
      <c r="F4" s="50">
        <f>E4+'Data input'!$C$15+1</f>
        <v>42371</v>
      </c>
      <c r="G4" s="50">
        <f>F4+'Data input'!$C$15+1</f>
        <v>42737</v>
      </c>
      <c r="H4" s="50">
        <f>G4+'Data input'!$C$15+1</f>
        <v>43103</v>
      </c>
      <c r="I4" s="50">
        <f>H4+'Data input'!$C$15+1</f>
        <v>43469</v>
      </c>
      <c r="J4" s="50">
        <f>I4+'Data input'!$C$15+1</f>
        <v>43835</v>
      </c>
      <c r="K4" s="50">
        <f>J4+'Data input'!$C$15+1</f>
        <v>44201</v>
      </c>
      <c r="L4" s="50">
        <f>K4+'Data input'!$C$15+1</f>
        <v>44567</v>
      </c>
      <c r="M4" s="50">
        <f>L4+'Data input'!$C$15+1</f>
        <v>44933</v>
      </c>
      <c r="N4" s="50">
        <f>M4+'Data input'!$C$15+1</f>
        <v>45299</v>
      </c>
      <c r="O4" s="50">
        <f>N4+'Data input'!$C$15+1</f>
        <v>45665</v>
      </c>
    </row>
    <row r="5" spans="2:15" ht="15">
      <c r="B5" s="31" t="s">
        <v>38</v>
      </c>
      <c r="C5" s="31"/>
      <c r="D5" s="31"/>
      <c r="E5" s="50">
        <f>E4+'Data input'!$C$15-1</f>
        <v>42369</v>
      </c>
      <c r="F5" s="50">
        <f>F4+'Data input'!$C$15-F6</f>
        <v>42735</v>
      </c>
      <c r="G5" s="50">
        <f>G4+'Data input'!$C$15-G6</f>
        <v>43100</v>
      </c>
      <c r="H5" s="50">
        <f>H4+'Data input'!$C$15-H6</f>
        <v>43465</v>
      </c>
      <c r="I5" s="50">
        <f>I4+'Data input'!$C$15-I6</f>
        <v>43830</v>
      </c>
      <c r="J5" s="50">
        <f>J4+'Data input'!$C$15-J6</f>
        <v>44195</v>
      </c>
      <c r="K5" s="50">
        <f>K4+'Data input'!$C$15-K6</f>
        <v>44560</v>
      </c>
      <c r="L5" s="50">
        <f>L4+'Data input'!$C$15-L6</f>
        <v>44925</v>
      </c>
      <c r="M5" s="50">
        <f>M4+'Data input'!$C$15-M6</f>
        <v>45290</v>
      </c>
      <c r="N5" s="50">
        <f>N4+'Data input'!$C$15-N6</f>
        <v>45655</v>
      </c>
      <c r="O5" s="50">
        <f>O4+'Data input'!$C$15-O6</f>
        <v>46020</v>
      </c>
    </row>
    <row r="6" spans="2:15" ht="15">
      <c r="B6" s="31"/>
      <c r="C6" s="31"/>
      <c r="D6" s="31"/>
      <c r="E6" s="31">
        <v>0</v>
      </c>
      <c r="F6" s="31">
        <v>1</v>
      </c>
      <c r="G6" s="31">
        <v>2</v>
      </c>
      <c r="H6" s="31">
        <v>3</v>
      </c>
      <c r="I6" s="31">
        <v>4</v>
      </c>
      <c r="J6" s="31">
        <v>5</v>
      </c>
      <c r="K6" s="31">
        <v>6</v>
      </c>
      <c r="L6" s="31">
        <v>7</v>
      </c>
      <c r="M6" s="31">
        <v>8</v>
      </c>
      <c r="N6" s="31">
        <v>9</v>
      </c>
      <c r="O6" s="31">
        <v>10</v>
      </c>
    </row>
    <row r="7" spans="2:15" ht="15">
      <c r="B7" t="s">
        <v>166</v>
      </c>
      <c r="E7" s="25">
        <f>cashflow!E36</f>
        <v>-20850000</v>
      </c>
      <c r="F7" s="25">
        <f>cashflow!F36</f>
        <v>6780483.872458002</v>
      </c>
      <c r="G7" s="25">
        <f>cashflow!G36</f>
        <v>7382390.737152318</v>
      </c>
      <c r="H7" s="25">
        <f>cashflow!H36</f>
        <v>8352995.372423028</v>
      </c>
      <c r="I7" s="25">
        <f>cashflow!I36</f>
        <v>9455575.519833349</v>
      </c>
      <c r="J7" s="25">
        <f>cashflow!J36</f>
        <v>10209561.896482866</v>
      </c>
      <c r="K7" s="25">
        <f>cashflow!K36</f>
        <v>11065626.403510991</v>
      </c>
      <c r="L7" s="25">
        <f>cashflow!L36</f>
        <v>7072353.2582501955</v>
      </c>
      <c r="M7" s="25">
        <f>cashflow!M36</f>
        <v>12992241.430510271</v>
      </c>
      <c r="N7" s="25">
        <f>cashflow!N36</f>
        <v>14078221.157546928</v>
      </c>
      <c r="O7" s="25">
        <f>cashflow!O36</f>
        <v>15256849.230749656</v>
      </c>
    </row>
    <row r="8" spans="2:15" ht="15">
      <c r="B8" s="31" t="s">
        <v>167</v>
      </c>
      <c r="E8" s="25">
        <f>IF(E6=0,cashflow!E29,(cashflow!E30-cashflow!F20))</f>
        <v>-20850000</v>
      </c>
      <c r="F8" s="25">
        <f>IF(F6=0,cashflow!F29,cashflow!F30)</f>
        <v>1940327.694836013</v>
      </c>
      <c r="G8" s="25">
        <f>IF(G6=0,cashflow!G29,cashflow!G30)</f>
        <v>2542234.559530329</v>
      </c>
      <c r="H8" s="25">
        <f>IF(H6=0,cashflow!H29,cashflow!H30)</f>
        <v>3512839.194801039</v>
      </c>
      <c r="I8" s="25">
        <f>IF(I6=0,cashflow!I29,cashflow!I30)</f>
        <v>4615419.34221136</v>
      </c>
      <c r="J8" s="25">
        <f>IF(J6=0,cashflow!J29,cashflow!J30)</f>
        <v>5369405.718860878</v>
      </c>
      <c r="K8" s="25">
        <f>IF(K6=0,cashflow!K29,cashflow!K30)</f>
        <v>9483064.842297211</v>
      </c>
      <c r="L8" s="25">
        <f>IF(L6=0,cashflow!L29,cashflow!L30)</f>
        <v>10409287.158735897</v>
      </c>
      <c r="M8" s="25">
        <f>IF(M6=0,cashflow!M29,cashflow!M30)</f>
        <v>11409679.869296491</v>
      </c>
      <c r="N8" s="25">
        <f>IF(N6=0,cashflow!N29,cashflow!N30)</f>
        <v>14078221.157546928</v>
      </c>
      <c r="O8" s="25">
        <f>IF(O6=0,cashflow!O29,cashflow!O30)</f>
        <v>15256849.230749656</v>
      </c>
    </row>
    <row r="11" spans="2:8" ht="15">
      <c r="B11" s="57" t="s">
        <v>159</v>
      </c>
      <c r="C11" s="57"/>
      <c r="D11" s="58">
        <f>+E4</f>
        <v>42005</v>
      </c>
      <c r="E11" s="57"/>
      <c r="F11" s="57"/>
      <c r="G11" s="57"/>
      <c r="H11" s="57"/>
    </row>
    <row r="12" spans="2:8" ht="15">
      <c r="B12" s="59" t="s">
        <v>162</v>
      </c>
      <c r="C12" s="59"/>
      <c r="D12" s="60">
        <f>WACC!C9</f>
        <v>0.09199999999999998</v>
      </c>
      <c r="E12" s="57"/>
      <c r="F12" s="57"/>
      <c r="G12" s="57"/>
      <c r="H12" s="57"/>
    </row>
    <row r="13" spans="2:8" ht="15">
      <c r="B13" s="57"/>
      <c r="C13" s="57"/>
      <c r="D13" s="25"/>
      <c r="E13" s="57"/>
      <c r="F13" s="57"/>
      <c r="G13" s="57"/>
      <c r="H13" s="57"/>
    </row>
    <row r="14" spans="2:8" ht="15">
      <c r="B14" s="61" t="s">
        <v>163</v>
      </c>
      <c r="C14" s="62"/>
      <c r="D14" s="63">
        <f>XIRR(E7:O7,E5:O5)</f>
        <v>0.388287514448166</v>
      </c>
      <c r="E14" s="61" t="s">
        <v>164</v>
      </c>
      <c r="F14" s="62"/>
      <c r="G14" s="62"/>
      <c r="H14" s="57"/>
    </row>
    <row r="15" spans="2:8" ht="15">
      <c r="B15" s="61" t="s">
        <v>169</v>
      </c>
      <c r="C15" s="62"/>
      <c r="D15" s="47">
        <f>XNPV(WACC!C9,IRR!E7:O7,IRR!E5:O5)</f>
        <v>40648903.803074546</v>
      </c>
      <c r="E15" s="61" t="s">
        <v>165</v>
      </c>
      <c r="F15" s="62"/>
      <c r="G15" s="62"/>
      <c r="H15" s="57"/>
    </row>
    <row r="16" spans="2:8" ht="15">
      <c r="B16" s="61"/>
      <c r="C16" s="62"/>
      <c r="D16" s="47"/>
      <c r="E16" s="62"/>
      <c r="F16" s="62"/>
      <c r="G16" s="62"/>
      <c r="H16" s="57"/>
    </row>
    <row r="17" spans="2:8" ht="15">
      <c r="B17" s="59" t="s">
        <v>22</v>
      </c>
      <c r="C17" s="57"/>
      <c r="D17" s="9">
        <f>WACC!C8</f>
        <v>0.18</v>
      </c>
      <c r="E17" s="57"/>
      <c r="F17" s="57"/>
      <c r="G17" s="57"/>
      <c r="H17" s="57"/>
    </row>
    <row r="18" spans="2:8" ht="15">
      <c r="B18" s="64"/>
      <c r="C18" s="64"/>
      <c r="D18" s="64"/>
      <c r="E18" s="64"/>
      <c r="F18" s="64"/>
      <c r="G18" s="64"/>
      <c r="H18" s="57"/>
    </row>
    <row r="19" spans="2:7" ht="15">
      <c r="B19" s="65" t="s">
        <v>160</v>
      </c>
      <c r="C19" s="66"/>
      <c r="D19" s="68">
        <f>XIRR(E8:O8,E5:O5)</f>
        <v>0.22667821049690248</v>
      </c>
      <c r="E19" s="61" t="s">
        <v>164</v>
      </c>
      <c r="F19" s="66"/>
      <c r="G19" s="66"/>
    </row>
    <row r="20" spans="2:7" ht="15">
      <c r="B20" s="67" t="s">
        <v>161</v>
      </c>
      <c r="C20" s="66"/>
      <c r="D20" s="69">
        <f>XNPV(D17,E8:O8,E5:O5)</f>
        <v>5378897.8758916</v>
      </c>
      <c r="E20" s="61" t="s">
        <v>165</v>
      </c>
      <c r="F20" s="66"/>
      <c r="G20" s="66"/>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O18"/>
  <sheetViews>
    <sheetView zoomScalePageLayoutView="0" workbookViewId="0" topLeftCell="A1">
      <selection activeCell="E4" sqref="E4"/>
    </sheetView>
  </sheetViews>
  <sheetFormatPr defaultColWidth="9.140625" defaultRowHeight="15"/>
  <cols>
    <col min="2" max="2" width="39.8515625" style="0" customWidth="1"/>
  </cols>
  <sheetData>
    <row r="1" spans="2:15" ht="18.75">
      <c r="B1" s="30" t="s">
        <v>119</v>
      </c>
      <c r="C1" s="30"/>
      <c r="D1" s="30"/>
      <c r="E1" s="18"/>
      <c r="F1" s="18"/>
      <c r="G1" s="18"/>
      <c r="H1" s="18"/>
      <c r="I1" s="18"/>
      <c r="J1" s="18"/>
      <c r="K1" s="18"/>
      <c r="L1" s="18"/>
      <c r="M1" s="18"/>
      <c r="N1" s="18"/>
      <c r="O1" s="18"/>
    </row>
    <row r="2" spans="2:15" ht="18.75">
      <c r="B2" s="30" t="s">
        <v>158</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C4" s="31"/>
      <c r="D4" s="33"/>
      <c r="E4" s="50">
        <f>'Data input'!$C$13</f>
        <v>42005</v>
      </c>
      <c r="F4" s="50">
        <f>E4+'Data input'!$C$15+1</f>
        <v>42371</v>
      </c>
      <c r="G4" s="50">
        <f>F4+'Data input'!$C$15+1</f>
        <v>42737</v>
      </c>
      <c r="H4" s="50">
        <f>G4+'Data input'!$C$15+1</f>
        <v>43103</v>
      </c>
      <c r="I4" s="50">
        <f>H4+'Data input'!$C$15+1</f>
        <v>43469</v>
      </c>
      <c r="J4" s="50">
        <f>I4+'Data input'!$C$15+1</f>
        <v>43835</v>
      </c>
      <c r="K4" s="50">
        <f>J4+'Data input'!$C$15+1</f>
        <v>44201</v>
      </c>
      <c r="L4" s="50">
        <f>K4+'Data input'!$C$15+1</f>
        <v>44567</v>
      </c>
      <c r="M4" s="50">
        <f>L4+'Data input'!$C$15+1</f>
        <v>44933</v>
      </c>
      <c r="N4" s="50">
        <f>M4+'Data input'!$C$15+1</f>
        <v>45299</v>
      </c>
      <c r="O4" s="50">
        <f>N4+'Data input'!$C$15+1</f>
        <v>45665</v>
      </c>
    </row>
    <row r="5" spans="2:15" ht="15">
      <c r="B5" s="31" t="s">
        <v>38</v>
      </c>
      <c r="C5" s="31"/>
      <c r="D5" s="31"/>
      <c r="E5" s="50">
        <f>E4+'Data input'!$C$15-1</f>
        <v>42369</v>
      </c>
      <c r="F5" s="50">
        <f>F4+'Data input'!$C$15-F6</f>
        <v>42735</v>
      </c>
      <c r="G5" s="50">
        <f>G4+'Data input'!$C$15-G6</f>
        <v>43100</v>
      </c>
      <c r="H5" s="50">
        <f>H4+'Data input'!$C$15-H6</f>
        <v>43465</v>
      </c>
      <c r="I5" s="50">
        <f>I4+'Data input'!$C$15-I6</f>
        <v>43830</v>
      </c>
      <c r="J5" s="50">
        <f>J4+'Data input'!$C$15-J6</f>
        <v>44195</v>
      </c>
      <c r="K5" s="50">
        <f>K4+'Data input'!$C$15-K6</f>
        <v>44560</v>
      </c>
      <c r="L5" s="50">
        <f>L4+'Data input'!$C$15-L6</f>
        <v>44925</v>
      </c>
      <c r="M5" s="50">
        <f>M4+'Data input'!$C$15-M6</f>
        <v>45290</v>
      </c>
      <c r="N5" s="50">
        <f>N4+'Data input'!$C$15-N6</f>
        <v>45655</v>
      </c>
      <c r="O5" s="50">
        <f>O4+'Data input'!$C$15-O6</f>
        <v>46020</v>
      </c>
    </row>
    <row r="6" spans="2:15" ht="15">
      <c r="B6" s="31"/>
      <c r="C6" s="31"/>
      <c r="D6" s="31"/>
      <c r="E6" s="31">
        <v>0</v>
      </c>
      <c r="F6" s="31">
        <v>1</v>
      </c>
      <c r="G6" s="31">
        <v>2</v>
      </c>
      <c r="H6" s="31">
        <v>3</v>
      </c>
      <c r="I6" s="31">
        <v>4</v>
      </c>
      <c r="J6" s="31">
        <v>5</v>
      </c>
      <c r="K6" s="31">
        <v>6</v>
      </c>
      <c r="L6" s="31">
        <v>7</v>
      </c>
      <c r="M6" s="31">
        <v>8</v>
      </c>
      <c r="N6" s="31">
        <v>9</v>
      </c>
      <c r="O6" s="31">
        <v>10</v>
      </c>
    </row>
    <row r="7" ht="15">
      <c r="B7" s="71" t="s">
        <v>170</v>
      </c>
    </row>
    <row r="8" ht="15">
      <c r="B8" s="72" t="s">
        <v>171</v>
      </c>
    </row>
    <row r="9" ht="15">
      <c r="B9" s="73" t="s">
        <v>172</v>
      </c>
    </row>
    <row r="10" ht="15">
      <c r="B10" s="74">
        <f>MIN(H8:AK8)</f>
        <v>0</v>
      </c>
    </row>
    <row r="11" ht="15">
      <c r="B11" s="73" t="s">
        <v>173</v>
      </c>
    </row>
    <row r="12" ht="15">
      <c r="B12" s="74" t="e">
        <f>AVERAGE(H8:AK8)</f>
        <v>#DIV/0!</v>
      </c>
    </row>
    <row r="13" ht="15">
      <c r="B13" s="75"/>
    </row>
    <row r="14" ht="15">
      <c r="B14" s="70" t="s">
        <v>174</v>
      </c>
    </row>
    <row r="15" ht="15">
      <c r="B15" s="71" t="s">
        <v>175</v>
      </c>
    </row>
    <row r="16" ht="15">
      <c r="B16" s="71" t="s">
        <v>176</v>
      </c>
    </row>
    <row r="17" ht="15">
      <c r="B17" s="71" t="s">
        <v>177</v>
      </c>
    </row>
    <row r="18" ht="15">
      <c r="B18" s="70" t="s">
        <v>178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E65"/>
  <sheetViews>
    <sheetView zoomScalePageLayoutView="0" workbookViewId="0" topLeftCell="A21">
      <selection activeCell="C45" sqref="C45"/>
    </sheetView>
  </sheetViews>
  <sheetFormatPr defaultColWidth="9.140625" defaultRowHeight="15"/>
  <cols>
    <col min="2" max="2" width="38.8515625" style="0" customWidth="1"/>
    <col min="3" max="3" width="14.57421875" style="0" bestFit="1" customWidth="1"/>
    <col min="4" max="4" width="33.57421875" style="0" customWidth="1"/>
    <col min="5" max="5" width="15.28125" style="0" bestFit="1" customWidth="1"/>
  </cols>
  <sheetData>
    <row r="2" spans="2:5" ht="15">
      <c r="B2" s="5" t="s">
        <v>2</v>
      </c>
      <c r="D2" s="67" t="s">
        <v>180</v>
      </c>
      <c r="E2" s="67" t="s">
        <v>181</v>
      </c>
    </row>
    <row r="3" spans="2:3" ht="15">
      <c r="B3" s="3" t="s">
        <v>4</v>
      </c>
      <c r="C3" s="7" t="s">
        <v>5</v>
      </c>
    </row>
    <row r="4" spans="2:3" ht="15">
      <c r="B4" t="s">
        <v>120</v>
      </c>
      <c r="C4" s="4">
        <v>0.1</v>
      </c>
    </row>
    <row r="5" spans="2:3" ht="15">
      <c r="B5" t="s">
        <v>24</v>
      </c>
      <c r="C5" s="4">
        <v>0.03</v>
      </c>
    </row>
    <row r="6" spans="2:3" ht="15">
      <c r="B6" t="s">
        <v>25</v>
      </c>
      <c r="C6" s="4">
        <v>0.05</v>
      </c>
    </row>
    <row r="7" spans="2:5" ht="15">
      <c r="B7" t="s">
        <v>79</v>
      </c>
      <c r="C7" s="14">
        <v>411</v>
      </c>
      <c r="E7" t="s">
        <v>184</v>
      </c>
    </row>
    <row r="8" spans="2:3" ht="15">
      <c r="B8" t="s">
        <v>22</v>
      </c>
      <c r="C8" s="9">
        <v>0.18</v>
      </c>
    </row>
    <row r="9" spans="2:3" ht="15">
      <c r="B9" t="s">
        <v>21</v>
      </c>
      <c r="C9" s="4">
        <v>0.3</v>
      </c>
    </row>
    <row r="10" ht="15">
      <c r="B10" s="5" t="s">
        <v>7</v>
      </c>
    </row>
    <row r="11" spans="2:3" ht="15">
      <c r="B11" t="s">
        <v>28</v>
      </c>
      <c r="C11">
        <v>10</v>
      </c>
    </row>
    <row r="12" spans="2:3" ht="15">
      <c r="B12" t="s">
        <v>27</v>
      </c>
      <c r="C12" s="14">
        <v>1</v>
      </c>
    </row>
    <row r="13" spans="2:3" ht="15">
      <c r="B13" t="s">
        <v>37</v>
      </c>
      <c r="C13" s="15">
        <f>DATE(2015,1,1)</f>
        <v>42005</v>
      </c>
    </row>
    <row r="14" spans="2:3" ht="15">
      <c r="B14" t="s">
        <v>38</v>
      </c>
      <c r="C14" s="15">
        <f>DATE(2015,12,31)</f>
        <v>42369</v>
      </c>
    </row>
    <row r="15" spans="2:3" ht="15">
      <c r="B15" t="s">
        <v>40</v>
      </c>
      <c r="C15" s="14">
        <v>365</v>
      </c>
    </row>
    <row r="16" spans="2:4" ht="15">
      <c r="B16" t="s">
        <v>68</v>
      </c>
      <c r="C16" s="6">
        <v>14500000</v>
      </c>
      <c r="D16" t="s">
        <v>126</v>
      </c>
    </row>
    <row r="17" spans="2:3" ht="15">
      <c r="B17" t="s">
        <v>69</v>
      </c>
      <c r="C17" s="6">
        <v>4000000</v>
      </c>
    </row>
    <row r="18" spans="2:3" ht="15">
      <c r="B18" t="s">
        <v>8</v>
      </c>
      <c r="C18" s="6"/>
    </row>
    <row r="19" spans="2:3" ht="15">
      <c r="B19" t="s">
        <v>9</v>
      </c>
      <c r="C19" s="6"/>
    </row>
    <row r="20" spans="2:3" ht="15">
      <c r="B20" t="s">
        <v>60</v>
      </c>
      <c r="C20" s="6">
        <v>4000000</v>
      </c>
    </row>
    <row r="21" spans="2:3" ht="15">
      <c r="B21" t="s">
        <v>48</v>
      </c>
      <c r="C21" s="6">
        <v>1000000</v>
      </c>
    </row>
    <row r="22" spans="2:3" ht="15">
      <c r="B22" t="s">
        <v>44</v>
      </c>
      <c r="C22" s="6">
        <v>250000</v>
      </c>
    </row>
    <row r="23" spans="2:5" ht="15">
      <c r="B23" t="s">
        <v>46</v>
      </c>
      <c r="C23" s="6">
        <v>1000000</v>
      </c>
      <c r="E23" s="24"/>
    </row>
    <row r="24" spans="2:3" ht="15">
      <c r="B24" t="s">
        <v>47</v>
      </c>
      <c r="C24" s="6">
        <v>100000</v>
      </c>
    </row>
    <row r="25" ht="15">
      <c r="C25" s="6"/>
    </row>
    <row r="26" ht="15">
      <c r="C26" s="6"/>
    </row>
    <row r="27" spans="2:3" ht="15">
      <c r="B27" s="8" t="s">
        <v>13</v>
      </c>
      <c r="C27" s="6"/>
    </row>
    <row r="28" spans="2:5" ht="15">
      <c r="B28" s="10" t="s">
        <v>179</v>
      </c>
      <c r="C28" s="6">
        <f>48000000000/C7</f>
        <v>116788321.16788322</v>
      </c>
      <c r="D28" t="s">
        <v>182</v>
      </c>
      <c r="E28" t="s">
        <v>183</v>
      </c>
    </row>
    <row r="29" spans="2:3" ht="15">
      <c r="B29" s="10" t="s">
        <v>80</v>
      </c>
      <c r="C29" s="9">
        <v>0.2</v>
      </c>
    </row>
    <row r="30" spans="2:4" ht="15">
      <c r="B30" s="10" t="s">
        <v>15</v>
      </c>
      <c r="C30" s="9">
        <v>0.1</v>
      </c>
      <c r="D30" t="s">
        <v>16</v>
      </c>
    </row>
    <row r="31" spans="2:3" ht="15">
      <c r="B31" s="10" t="s">
        <v>17</v>
      </c>
      <c r="C31" s="9">
        <v>0.05</v>
      </c>
    </row>
    <row r="32" spans="2:3" ht="15">
      <c r="B32" s="10" t="s">
        <v>106</v>
      </c>
      <c r="C32" s="9">
        <v>0.1</v>
      </c>
    </row>
    <row r="33" spans="2:3" ht="15">
      <c r="B33" s="10" t="s">
        <v>107</v>
      </c>
      <c r="C33" s="9">
        <f>1-C32</f>
        <v>0.9</v>
      </c>
    </row>
    <row r="34" spans="2:3" ht="15">
      <c r="B34" s="12" t="s">
        <v>85</v>
      </c>
      <c r="C34" s="9"/>
    </row>
    <row r="35" spans="2:3" ht="15">
      <c r="B35" s="10" t="s">
        <v>19</v>
      </c>
      <c r="C35" s="9">
        <v>0.03</v>
      </c>
    </row>
    <row r="36" spans="2:3" ht="15">
      <c r="B36" s="11" t="s">
        <v>20</v>
      </c>
      <c r="C36" s="9">
        <v>0.07</v>
      </c>
    </row>
    <row r="37" spans="2:4" ht="15">
      <c r="B37" t="s">
        <v>14</v>
      </c>
      <c r="C37" s="9">
        <v>0.25</v>
      </c>
      <c r="D37" t="s">
        <v>18</v>
      </c>
    </row>
    <row r="38" ht="15">
      <c r="C38" s="9"/>
    </row>
    <row r="39" spans="2:3" ht="15">
      <c r="B39" s="42" t="s">
        <v>65</v>
      </c>
      <c r="C39" s="9"/>
    </row>
    <row r="40" spans="2:3" ht="15">
      <c r="B40" t="s">
        <v>70</v>
      </c>
      <c r="C40" s="4">
        <v>0.1</v>
      </c>
    </row>
    <row r="41" spans="2:3" ht="15">
      <c r="B41" t="s">
        <v>69</v>
      </c>
      <c r="C41" s="4">
        <v>0.2</v>
      </c>
    </row>
    <row r="42" spans="2:3" ht="15">
      <c r="B42" t="s">
        <v>66</v>
      </c>
      <c r="C42" s="4">
        <v>0.1</v>
      </c>
    </row>
    <row r="43" ht="15">
      <c r="C43" s="4"/>
    </row>
    <row r="44" ht="15">
      <c r="B44" s="8" t="s">
        <v>10</v>
      </c>
    </row>
    <row r="45" spans="2:3" ht="15">
      <c r="B45" t="s">
        <v>11</v>
      </c>
      <c r="C45" s="4">
        <v>0.8</v>
      </c>
    </row>
    <row r="46" spans="2:3" ht="15">
      <c r="B46" t="s">
        <v>12</v>
      </c>
      <c r="C46" s="4">
        <f>1-C45</f>
        <v>0.19999999999999996</v>
      </c>
    </row>
    <row r="47" spans="2:3" ht="15">
      <c r="B47" t="s">
        <v>76</v>
      </c>
      <c r="C47">
        <v>5</v>
      </c>
    </row>
    <row r="48" spans="2:3" ht="15">
      <c r="B48" t="s">
        <v>62</v>
      </c>
      <c r="C48" s="14">
        <v>3</v>
      </c>
    </row>
    <row r="49" spans="2:3" ht="15">
      <c r="B49" t="s">
        <v>3</v>
      </c>
      <c r="C49" s="4">
        <f>+C4</f>
        <v>0.1</v>
      </c>
    </row>
    <row r="50" spans="2:3" ht="15">
      <c r="B50" t="s">
        <v>22</v>
      </c>
      <c r="C50" s="4">
        <f>+C8</f>
        <v>0.18</v>
      </c>
    </row>
    <row r="51" spans="2:3" ht="15">
      <c r="B51" t="s">
        <v>26</v>
      </c>
      <c r="C51" s="14">
        <v>2016</v>
      </c>
    </row>
    <row r="52" ht="15">
      <c r="C52" s="14"/>
    </row>
    <row r="53" spans="2:3" ht="15">
      <c r="B53" s="40" t="s">
        <v>103</v>
      </c>
      <c r="C53" s="14"/>
    </row>
    <row r="54" spans="2:3" ht="15">
      <c r="B54" t="s">
        <v>104</v>
      </c>
      <c r="C54" s="9">
        <v>0.1</v>
      </c>
    </row>
    <row r="55" spans="2:3" ht="15">
      <c r="B55" t="s">
        <v>105</v>
      </c>
      <c r="C55" s="9">
        <v>0.2</v>
      </c>
    </row>
    <row r="57" ht="15">
      <c r="B57" s="8" t="s">
        <v>29</v>
      </c>
    </row>
    <row r="58" spans="2:3" ht="15">
      <c r="B58" t="s">
        <v>30</v>
      </c>
      <c r="C58">
        <v>12</v>
      </c>
    </row>
    <row r="59" spans="2:3" ht="15">
      <c r="B59" t="s">
        <v>31</v>
      </c>
      <c r="C59">
        <v>12</v>
      </c>
    </row>
    <row r="60" spans="2:3" ht="15">
      <c r="B60" t="s">
        <v>32</v>
      </c>
      <c r="C60" s="9">
        <v>1</v>
      </c>
    </row>
    <row r="62" ht="15">
      <c r="B62" t="s">
        <v>33</v>
      </c>
    </row>
    <row r="63" spans="2:3" ht="15">
      <c r="B63" t="s">
        <v>34</v>
      </c>
      <c r="C63">
        <v>0.01</v>
      </c>
    </row>
    <row r="64" spans="2:3" ht="15">
      <c r="B64" t="s">
        <v>35</v>
      </c>
      <c r="C64">
        <v>0.0125</v>
      </c>
    </row>
    <row r="65" spans="2:3" ht="15">
      <c r="B65" t="s">
        <v>36</v>
      </c>
      <c r="C65">
        <v>0.015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P23"/>
  <sheetViews>
    <sheetView zoomScalePageLayoutView="0" workbookViewId="0" topLeftCell="A2">
      <selection activeCell="E7" sqref="E7"/>
    </sheetView>
  </sheetViews>
  <sheetFormatPr defaultColWidth="9.140625" defaultRowHeight="15"/>
  <cols>
    <col min="2" max="2" width="24.28125" style="0" customWidth="1"/>
    <col min="3" max="3" width="20.28125" style="0" customWidth="1"/>
    <col min="4" max="4" width="14.28125" style="0" bestFit="1" customWidth="1"/>
    <col min="5" max="5" width="9.8515625" style="0" bestFit="1" customWidth="1"/>
    <col min="6" max="6" width="14.28125" style="0" bestFit="1" customWidth="1"/>
    <col min="9" max="10" width="9.8515625" style="0" bestFit="1" customWidth="1"/>
  </cols>
  <sheetData>
    <row r="1" spans="2:3" s="17" customFormat="1" ht="25.5" customHeight="1">
      <c r="B1" s="16" t="s">
        <v>42</v>
      </c>
      <c r="C1" s="16"/>
    </row>
    <row r="2" spans="2:3" s="17" customFormat="1" ht="21">
      <c r="B2" s="16" t="s">
        <v>63</v>
      </c>
      <c r="C2" s="16"/>
    </row>
    <row r="3" spans="2:3" s="17" customFormat="1" ht="21">
      <c r="B3" s="16"/>
      <c r="C3" s="28" t="s">
        <v>64</v>
      </c>
    </row>
    <row r="4" spans="1:16" ht="15">
      <c r="A4" s="18"/>
      <c r="B4" s="22" t="s">
        <v>39</v>
      </c>
      <c r="C4" s="22"/>
      <c r="D4" s="21">
        <f>('Data input'!$C$13)</f>
        <v>42005</v>
      </c>
      <c r="E4" s="21">
        <f>+D4+'Data input'!$C$15+1</f>
        <v>42371</v>
      </c>
      <c r="F4" s="21">
        <f>+E4+'Data input'!$C$15+1</f>
        <v>42737</v>
      </c>
      <c r="G4" s="21">
        <f>+F4+'Data input'!$C$15+1</f>
        <v>43103</v>
      </c>
      <c r="H4" s="21">
        <f>+G4+'Data input'!$C$15+1</f>
        <v>43469</v>
      </c>
      <c r="I4" s="21">
        <f>+H4+'Data input'!$C$15+1</f>
        <v>43835</v>
      </c>
      <c r="J4" s="21">
        <f>+I4+'Data input'!$C$15+1</f>
        <v>44201</v>
      </c>
      <c r="K4" s="21">
        <f>+J4+'Data input'!$C$15+1</f>
        <v>44567</v>
      </c>
      <c r="L4" s="21">
        <f>+K4+'Data input'!$C$15+1</f>
        <v>44933</v>
      </c>
      <c r="M4" s="21">
        <f>+L4+'Data input'!$C$15+1</f>
        <v>45299</v>
      </c>
      <c r="N4" s="21">
        <f>+M4+'Data input'!$C$15+1</f>
        <v>45665</v>
      </c>
      <c r="O4" s="21">
        <f>+N4+'Data input'!$C$15+1</f>
        <v>46031</v>
      </c>
      <c r="P4" s="21">
        <f>+O4+'Data input'!$C$15+1</f>
        <v>46397</v>
      </c>
    </row>
    <row r="5" spans="1:16" ht="15">
      <c r="A5" s="18"/>
      <c r="B5" s="18" t="s">
        <v>23</v>
      </c>
      <c r="C5" s="18"/>
      <c r="D5" s="18">
        <v>0</v>
      </c>
      <c r="E5" s="18">
        <v>1</v>
      </c>
      <c r="F5" s="18">
        <v>2</v>
      </c>
      <c r="G5" s="18">
        <v>3</v>
      </c>
      <c r="H5" s="18">
        <v>4</v>
      </c>
      <c r="I5" s="18">
        <v>5</v>
      </c>
      <c r="J5" s="18">
        <v>6</v>
      </c>
      <c r="K5" s="18">
        <v>7</v>
      </c>
      <c r="L5" s="18">
        <v>8</v>
      </c>
      <c r="M5" s="18">
        <v>9</v>
      </c>
      <c r="N5" s="18">
        <v>10</v>
      </c>
      <c r="O5" s="18">
        <v>11</v>
      </c>
      <c r="P5" s="18">
        <v>12</v>
      </c>
    </row>
    <row r="6" spans="1:16" ht="15">
      <c r="A6" s="18"/>
      <c r="B6" s="18" t="s">
        <v>6</v>
      </c>
      <c r="C6" s="18"/>
      <c r="D6" s="19">
        <f>(1+'Data input'!$C$5)</f>
        <v>1.03</v>
      </c>
      <c r="E6" s="19">
        <f>(1+'Data input'!$C$5)</f>
        <v>1.03</v>
      </c>
      <c r="F6" s="19">
        <f>(1+'Data input'!$C$5)</f>
        <v>1.03</v>
      </c>
      <c r="G6" s="19">
        <f>(1+'Data input'!$C$5)</f>
        <v>1.03</v>
      </c>
      <c r="H6" s="19">
        <f>(1+'Data input'!$C$5)</f>
        <v>1.03</v>
      </c>
      <c r="I6" s="19">
        <f>(1+'Data input'!$C$5)</f>
        <v>1.03</v>
      </c>
      <c r="J6" s="19">
        <f>(1+'Data input'!$C$5)</f>
        <v>1.03</v>
      </c>
      <c r="K6" s="19">
        <f>(1+'Data input'!$C$5)</f>
        <v>1.03</v>
      </c>
      <c r="L6" s="19">
        <f>(1+'Data input'!$C$5)</f>
        <v>1.03</v>
      </c>
      <c r="M6" s="19">
        <f>(1+'Data input'!$C$5)</f>
        <v>1.03</v>
      </c>
      <c r="N6" s="19">
        <f>(1+'Data input'!$C$5)</f>
        <v>1.03</v>
      </c>
      <c r="O6" s="19">
        <f>(1+'Data input'!$C$5)</f>
        <v>1.03</v>
      </c>
      <c r="P6" s="18"/>
    </row>
    <row r="7" spans="1:16" ht="15">
      <c r="A7" s="18"/>
      <c r="B7" s="18" t="s">
        <v>41</v>
      </c>
      <c r="C7" s="18"/>
      <c r="D7" s="20">
        <f>PRODUCT($D$6:D6)</f>
        <v>1.03</v>
      </c>
      <c r="E7" s="20">
        <f>PRODUCT($D$6:E6)</f>
        <v>1.0609</v>
      </c>
      <c r="F7" s="20">
        <f>PRODUCT($D$6:F6)</f>
        <v>1.092727</v>
      </c>
      <c r="G7" s="20">
        <f>PRODUCT($D$6:G6)</f>
        <v>1.1255088100000001</v>
      </c>
      <c r="H7" s="20">
        <f>PRODUCT($D$6:H6)</f>
        <v>1.1592740743</v>
      </c>
      <c r="I7" s="20">
        <f>PRODUCT($D$6:I6)</f>
        <v>1.1940522965290001</v>
      </c>
      <c r="J7" s="20">
        <f>PRODUCT($D$6:J6)</f>
        <v>1.2298738654248702</v>
      </c>
      <c r="K7" s="20">
        <f>PRODUCT($D$6:K6)</f>
        <v>1.2667700813876164</v>
      </c>
      <c r="L7" s="20">
        <f>PRODUCT($D$6:L6)</f>
        <v>1.304773183829245</v>
      </c>
      <c r="M7" s="20">
        <f>PRODUCT($D$6:M6)</f>
        <v>1.3439163793441222</v>
      </c>
      <c r="N7" s="20">
        <f>PRODUCT($D$6:N6)</f>
        <v>1.384233870724446</v>
      </c>
      <c r="O7" s="20">
        <f>PRODUCT($D$6:O6)</f>
        <v>1.4257608868461793</v>
      </c>
      <c r="P7" s="18"/>
    </row>
    <row r="9" spans="2:4" ht="15">
      <c r="B9" s="23" t="s">
        <v>43</v>
      </c>
      <c r="C9" s="29">
        <f>SUM(D9:N9)</f>
        <v>1000000</v>
      </c>
      <c r="D9" s="6">
        <f>'Data input'!C21</f>
        <v>1000000</v>
      </c>
    </row>
    <row r="10" spans="2:9" ht="15">
      <c r="B10" s="10" t="s">
        <v>71</v>
      </c>
      <c r="C10" s="29">
        <f aca="true" t="shared" si="0" ref="C10:C15">SUM(D10:N10)</f>
        <v>14500000</v>
      </c>
      <c r="D10" s="6">
        <f>'Data input'!C16</f>
        <v>14500000</v>
      </c>
      <c r="E10" s="6">
        <f>'Data input'!C18*E7</f>
        <v>0</v>
      </c>
      <c r="F10" s="25">
        <f>'Data input'!C19*'Capital investment'!F7</f>
        <v>0</v>
      </c>
      <c r="I10" s="6" t="s">
        <v>61</v>
      </c>
    </row>
    <row r="11" spans="2:10" ht="15">
      <c r="B11" s="10" t="s">
        <v>69</v>
      </c>
      <c r="C11" s="29">
        <f t="shared" si="0"/>
        <v>8919495.461699482</v>
      </c>
      <c r="D11" s="6">
        <f>'Data input'!C17</f>
        <v>4000000</v>
      </c>
      <c r="E11" s="6"/>
      <c r="F11" s="25"/>
      <c r="I11" s="6"/>
      <c r="J11" s="6">
        <f>'Data input'!$C$20*J7</f>
        <v>4919495.461699481</v>
      </c>
    </row>
    <row r="12" spans="2:4" ht="15">
      <c r="B12" s="10" t="s">
        <v>44</v>
      </c>
      <c r="C12" s="29">
        <f t="shared" si="0"/>
        <v>250000</v>
      </c>
      <c r="D12" s="6">
        <f>'Data input'!C22</f>
        <v>250000</v>
      </c>
    </row>
    <row r="13" spans="2:4" ht="15">
      <c r="B13" s="10" t="s">
        <v>46</v>
      </c>
      <c r="C13" s="29">
        <f t="shared" si="0"/>
        <v>1000000</v>
      </c>
      <c r="D13" s="6">
        <f>'Data input'!C23</f>
        <v>1000000</v>
      </c>
    </row>
    <row r="14" spans="2:4" ht="15">
      <c r="B14" s="10" t="s">
        <v>47</v>
      </c>
      <c r="C14" s="29">
        <f t="shared" si="0"/>
        <v>100000</v>
      </c>
      <c r="D14" s="6">
        <f>'Data input'!C24</f>
        <v>100000</v>
      </c>
    </row>
    <row r="15" spans="2:15" ht="15">
      <c r="B15" s="26" t="s">
        <v>49</v>
      </c>
      <c r="C15" s="29">
        <f t="shared" si="0"/>
        <v>25769495.461699482</v>
      </c>
      <c r="D15" s="27">
        <f>SUM(D9:D14)</f>
        <v>20850000</v>
      </c>
      <c r="E15" s="27">
        <f aca="true" t="shared" si="1" ref="E15:O15">SUM(E9:E14)</f>
        <v>0</v>
      </c>
      <c r="F15" s="27">
        <f t="shared" si="1"/>
        <v>0</v>
      </c>
      <c r="G15" s="27">
        <f t="shared" si="1"/>
        <v>0</v>
      </c>
      <c r="H15" s="27">
        <f t="shared" si="1"/>
        <v>0</v>
      </c>
      <c r="I15" s="27">
        <f t="shared" si="1"/>
        <v>0</v>
      </c>
      <c r="J15" s="27">
        <f t="shared" si="1"/>
        <v>4919495.461699481</v>
      </c>
      <c r="K15" s="27">
        <f t="shared" si="1"/>
        <v>0</v>
      </c>
      <c r="L15" s="27">
        <f t="shared" si="1"/>
        <v>0</v>
      </c>
      <c r="M15" s="27">
        <f t="shared" si="1"/>
        <v>0</v>
      </c>
      <c r="N15" s="27">
        <f t="shared" si="1"/>
        <v>0</v>
      </c>
      <c r="O15" s="27">
        <f t="shared" si="1"/>
        <v>0</v>
      </c>
    </row>
    <row r="16" spans="2:3" ht="15">
      <c r="B16" s="10"/>
      <c r="C16" s="10"/>
    </row>
    <row r="17" spans="2:4" ht="15">
      <c r="B17" s="10"/>
      <c r="C17" s="10"/>
      <c r="D17" s="24"/>
    </row>
    <row r="18" spans="2:4" ht="15">
      <c r="B18" s="10"/>
      <c r="C18" s="10"/>
      <c r="D18" s="46"/>
    </row>
    <row r="19" spans="2:3" ht="15">
      <c r="B19" s="10"/>
      <c r="C19" s="10"/>
    </row>
    <row r="20" spans="2:3" ht="15">
      <c r="B20" s="10"/>
      <c r="C20" s="10"/>
    </row>
    <row r="21" spans="2:3" ht="15">
      <c r="B21" s="10"/>
      <c r="C21" s="10"/>
    </row>
    <row r="22" spans="2:3" ht="15">
      <c r="B22" s="10"/>
      <c r="C22" s="10"/>
    </row>
    <row r="23" spans="2:3" ht="15">
      <c r="B23" s="10"/>
      <c r="C23" s="1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5"/>
  </sheetPr>
  <dimension ref="B2:Q24"/>
  <sheetViews>
    <sheetView zoomScalePageLayoutView="0" workbookViewId="0" topLeftCell="B1">
      <pane xSplit="1" ySplit="6" topLeftCell="E7" activePane="bottomRight" state="frozen"/>
      <selection pane="topLeft" activeCell="B1" sqref="B1"/>
      <selection pane="topRight" activeCell="C1" sqref="C1"/>
      <selection pane="bottomLeft" activeCell="B7" sqref="B7"/>
      <selection pane="bottomRight" activeCell="E10" sqref="E10"/>
    </sheetView>
  </sheetViews>
  <sheetFormatPr defaultColWidth="9.140625" defaultRowHeight="15"/>
  <cols>
    <col min="2" max="2" width="27.7109375" style="0" customWidth="1"/>
    <col min="3" max="3" width="17.28125" style="0" customWidth="1"/>
    <col min="4" max="4" width="16.00390625" style="0" customWidth="1"/>
    <col min="5" max="5" width="14.28125" style="0" bestFit="1" customWidth="1"/>
    <col min="6" max="6" width="16.28125" style="0" bestFit="1" customWidth="1"/>
    <col min="7" max="7" width="13.421875" style="0" bestFit="1" customWidth="1"/>
    <col min="8" max="8" width="13.28125" style="0" bestFit="1" customWidth="1"/>
    <col min="9" max="9" width="14.140625" style="0" customWidth="1"/>
    <col min="10" max="10" width="14.00390625" style="0" customWidth="1"/>
    <col min="11" max="13" width="15.7109375" style="0" customWidth="1"/>
    <col min="14" max="14" width="13.28125" style="0" customWidth="1"/>
    <col min="15" max="15" width="15.7109375" style="0" customWidth="1"/>
  </cols>
  <sheetData>
    <row r="2" spans="2:17" ht="18.75">
      <c r="B2" s="30" t="s">
        <v>50</v>
      </c>
      <c r="C2" s="30"/>
      <c r="D2" s="30"/>
      <c r="E2" s="18"/>
      <c r="F2" s="18"/>
      <c r="G2" s="18"/>
      <c r="H2" s="18"/>
      <c r="I2" s="18"/>
      <c r="J2" s="18"/>
      <c r="K2" s="18"/>
      <c r="L2" s="18"/>
      <c r="M2" s="18"/>
      <c r="N2" s="18"/>
      <c r="O2" s="18"/>
      <c r="P2" s="18"/>
      <c r="Q2" s="18"/>
    </row>
    <row r="3" spans="2:17" ht="18.75">
      <c r="B3" s="30"/>
      <c r="C3" s="18"/>
      <c r="D3" s="18"/>
      <c r="E3" s="18"/>
      <c r="F3" s="18"/>
      <c r="G3" s="18"/>
      <c r="H3" s="18"/>
      <c r="I3" s="18"/>
      <c r="J3" s="18"/>
      <c r="K3" s="18"/>
      <c r="L3" s="18"/>
      <c r="M3" s="18"/>
      <c r="N3" s="18"/>
      <c r="O3" s="18"/>
      <c r="P3" s="18"/>
      <c r="Q3" s="18"/>
    </row>
    <row r="4" spans="2:17" ht="15">
      <c r="B4" s="18"/>
      <c r="C4" s="18"/>
      <c r="D4" s="18"/>
      <c r="E4" s="18"/>
      <c r="F4" s="18"/>
      <c r="G4" s="18"/>
      <c r="H4" s="18"/>
      <c r="I4" s="18"/>
      <c r="J4" s="18"/>
      <c r="K4" s="18"/>
      <c r="L4" s="18"/>
      <c r="M4" s="18"/>
      <c r="N4" s="18"/>
      <c r="O4" s="18"/>
      <c r="P4" s="18"/>
      <c r="Q4" s="18"/>
    </row>
    <row r="5" spans="2:15" ht="15">
      <c r="B5" t="s">
        <v>52</v>
      </c>
      <c r="D5" s="33" t="s">
        <v>54</v>
      </c>
      <c r="E5" s="13">
        <f>'Data input'!C13</f>
        <v>42005</v>
      </c>
      <c r="F5" s="13">
        <f>E5+'Data input'!$C$15+1</f>
        <v>42371</v>
      </c>
      <c r="G5" s="13">
        <f>F5+'Data input'!$C$15+1</f>
        <v>42737</v>
      </c>
      <c r="H5" s="13">
        <f>G5+'Data input'!$C$15+1</f>
        <v>43103</v>
      </c>
      <c r="I5" s="13">
        <f>H5+'Data input'!$C$15+1</f>
        <v>43469</v>
      </c>
      <c r="J5" s="13">
        <f>I5+'Data input'!$C$15+1</f>
        <v>43835</v>
      </c>
      <c r="K5" s="13">
        <f>J5+'Data input'!$C$15+1</f>
        <v>44201</v>
      </c>
      <c r="L5" s="13">
        <f>K5+'Data input'!$C$15+1</f>
        <v>44567</v>
      </c>
      <c r="M5" s="13">
        <f>L5+'Data input'!$C$15+1</f>
        <v>44933</v>
      </c>
      <c r="N5" s="13">
        <f>M5+'Data input'!$C$15+1</f>
        <v>45299</v>
      </c>
      <c r="O5" s="13">
        <f>N5+'Data input'!$C$15+1</f>
        <v>45665</v>
      </c>
    </row>
    <row r="6" spans="4:15" ht="15">
      <c r="D6" s="31"/>
      <c r="E6" s="13">
        <f>E5+'Data input'!$C$15-1</f>
        <v>42369</v>
      </c>
      <c r="F6" s="13">
        <f>F5+'Data input'!$C$15-F7</f>
        <v>42735</v>
      </c>
      <c r="G6" s="13">
        <f>G5+'Data input'!$C$15-G7</f>
        <v>43100</v>
      </c>
      <c r="H6" s="13">
        <f>H5+'Data input'!$C$15-H7</f>
        <v>43465</v>
      </c>
      <c r="I6" s="13">
        <f>I5+'Data input'!$C$15-I7</f>
        <v>43830</v>
      </c>
      <c r="J6" s="13">
        <f>J5+'Data input'!$C$15-J7</f>
        <v>44195</v>
      </c>
      <c r="K6" s="13">
        <f>K5+'Data input'!$C$15-K7</f>
        <v>44560</v>
      </c>
      <c r="L6" s="13">
        <f>L5+'Data input'!$C$15-L7</f>
        <v>44925</v>
      </c>
      <c r="M6" s="13">
        <f>M5+'Data input'!$C$15-M7</f>
        <v>45290</v>
      </c>
      <c r="N6" s="13">
        <f>N5+'Data input'!$C$15-N7</f>
        <v>45655</v>
      </c>
      <c r="O6" s="13">
        <f>O5+'Data input'!$C$15-O7</f>
        <v>46020</v>
      </c>
    </row>
    <row r="7" spans="2:15" ht="15">
      <c r="B7" t="s">
        <v>51</v>
      </c>
      <c r="D7" s="31"/>
      <c r="E7">
        <v>0</v>
      </c>
      <c r="F7">
        <v>1</v>
      </c>
      <c r="G7">
        <v>2</v>
      </c>
      <c r="H7">
        <v>3</v>
      </c>
      <c r="I7">
        <v>4</v>
      </c>
      <c r="J7">
        <v>5</v>
      </c>
      <c r="K7">
        <v>6</v>
      </c>
      <c r="L7">
        <v>7</v>
      </c>
      <c r="M7">
        <v>8</v>
      </c>
      <c r="N7">
        <v>9</v>
      </c>
      <c r="O7">
        <v>10</v>
      </c>
    </row>
    <row r="8" spans="2:14" ht="15">
      <c r="B8" t="str">
        <f>'Capital investment'!B15</f>
        <v>Total Investment</v>
      </c>
      <c r="D8" s="32">
        <f>'Capital investment'!C15</f>
        <v>25769495.461699482</v>
      </c>
      <c r="E8" s="25">
        <f>'Capital investment'!D15</f>
        <v>20850000</v>
      </c>
      <c r="F8" s="25">
        <f>'Capital investment'!E15</f>
        <v>0</v>
      </c>
      <c r="G8" s="25">
        <f>'Capital investment'!F15</f>
        <v>0</v>
      </c>
      <c r="H8" s="25">
        <f>'Capital investment'!G15</f>
        <v>0</v>
      </c>
      <c r="I8" s="25">
        <f>'Capital investment'!H15</f>
        <v>0</v>
      </c>
      <c r="J8" s="25">
        <f>'Capital investment'!I15</f>
        <v>0</v>
      </c>
      <c r="K8" s="25">
        <f>'Capital investment'!J15</f>
        <v>4919495.461699481</v>
      </c>
      <c r="L8" s="25">
        <f>'Capital investment'!K15</f>
        <v>0</v>
      </c>
      <c r="M8" s="25">
        <f>'Capital investment'!L15</f>
        <v>0</v>
      </c>
      <c r="N8" s="25">
        <f>'Capital investment'!M15</f>
        <v>0</v>
      </c>
    </row>
    <row r="9" spans="2:14" ht="15">
      <c r="B9" t="s">
        <v>53</v>
      </c>
      <c r="D9" s="32">
        <f>D8*'Data input'!$C$46</f>
        <v>5153899.092339896</v>
      </c>
      <c r="E9" s="25">
        <f>E8*'Data input'!$C$46</f>
        <v>4169999.999999999</v>
      </c>
      <c r="F9" s="25">
        <f>F8*'Data input'!$C$46</f>
        <v>0</v>
      </c>
      <c r="G9" s="25">
        <f>G8*'Data input'!$C$46</f>
        <v>0</v>
      </c>
      <c r="H9" s="25">
        <f>H8*'Data input'!$C$46</f>
        <v>0</v>
      </c>
      <c r="I9" s="25">
        <f>I8*'Data input'!$C$46</f>
        <v>0</v>
      </c>
      <c r="J9" s="25">
        <f>J8*'Data input'!$C$46</f>
        <v>0</v>
      </c>
      <c r="K9" s="25">
        <f>K8*'Data input'!$C$46</f>
        <v>983899.092339896</v>
      </c>
      <c r="L9" s="25">
        <f>L8*'Data input'!$C$46</f>
        <v>0</v>
      </c>
      <c r="M9" s="25">
        <f>M8*'Data input'!$C$46</f>
        <v>0</v>
      </c>
      <c r="N9" s="25">
        <f>N8*'Data input'!$C$46</f>
        <v>0</v>
      </c>
    </row>
    <row r="10" spans="2:14" ht="15">
      <c r="B10" t="s">
        <v>11</v>
      </c>
      <c r="D10" s="32">
        <f>D8*'Data input'!$C$45</f>
        <v>20615596.369359586</v>
      </c>
      <c r="E10" s="25">
        <f>E8*'Data input'!$C$45</f>
        <v>16680000</v>
      </c>
      <c r="F10" s="25">
        <f>F8*'Data input'!$C$45</f>
        <v>0</v>
      </c>
      <c r="G10" s="25">
        <f>G8*'Data input'!$C$45</f>
        <v>0</v>
      </c>
      <c r="H10" s="25">
        <f>H8*'Data input'!$C$45</f>
        <v>0</v>
      </c>
      <c r="I10" s="25">
        <f>I8*'Data input'!$C$45</f>
        <v>0</v>
      </c>
      <c r="J10" s="25">
        <f>J8*'Data input'!$C$45</f>
        <v>0</v>
      </c>
      <c r="K10" s="25">
        <f>K8*'Data input'!$C$45</f>
        <v>3935596.369359585</v>
      </c>
      <c r="L10" s="25">
        <f>L8*'Data input'!$C$45</f>
        <v>0</v>
      </c>
      <c r="M10" s="25">
        <f>M8*'Data input'!$C$45</f>
        <v>0</v>
      </c>
      <c r="N10" s="25">
        <f>N8*'Data input'!$C$45</f>
        <v>0</v>
      </c>
    </row>
    <row r="11" spans="2:15" ht="30">
      <c r="B11" s="34" t="s">
        <v>59</v>
      </c>
      <c r="C11" s="34"/>
      <c r="D11" s="25">
        <f>D10*(1+'Data input'!$C$49)</f>
        <v>22677156.006295547</v>
      </c>
      <c r="E11" s="25">
        <f>IF((E7&lt;1),(E10*(1+'Data input'!$C$49)),E10)</f>
        <v>18348000</v>
      </c>
      <c r="F11" s="25">
        <f>IF((F7&lt;1),(F10*(1+'Data input'!$C$49)),F10)</f>
        <v>0</v>
      </c>
      <c r="G11" s="25">
        <f>IF((G7&lt;1),(G10*(1+'Data input'!$C$49)),G10)</f>
        <v>0</v>
      </c>
      <c r="H11" s="25">
        <f>IF((H7&lt;1),(H10*(1+'Data input'!$C$49)),H10)</f>
        <v>0</v>
      </c>
      <c r="I11" s="25">
        <f>IF((I7&lt;1),(I10*(1+'Data input'!$C$49)),I10)</f>
        <v>0</v>
      </c>
      <c r="J11" s="25">
        <f>IF((J7&lt;1),(J10*(1+'Data input'!$C$49)),J10)</f>
        <v>0</v>
      </c>
      <c r="K11" s="25">
        <f>IF((K7&lt;1),(K10*(1+'Data input'!$C$49)),K10)</f>
        <v>3935596.369359585</v>
      </c>
      <c r="L11" s="25">
        <f>IF((L7&lt;1),(L10*(1+'Data input'!$C$49)),L10)</f>
        <v>0</v>
      </c>
      <c r="M11" s="25">
        <f>IF((M7&lt;1),(M10*(1+'Data input'!$C$49)),M10)</f>
        <v>0</v>
      </c>
      <c r="N11" s="25">
        <f>IF((N7&lt;1),(N10*(1+'Data input'!$C$49)),N10)</f>
        <v>0</v>
      </c>
      <c r="O11" s="25">
        <f>IF((O7&lt;1),(O10*(1+'Data input'!$C$49)),O10)</f>
        <v>0</v>
      </c>
    </row>
    <row r="12" spans="2:14" ht="15">
      <c r="B12" t="s">
        <v>141</v>
      </c>
      <c r="D12" s="31"/>
      <c r="E12" s="25">
        <f>+E11-E10</f>
        <v>1668000</v>
      </c>
      <c r="F12" s="25"/>
      <c r="G12" s="25"/>
      <c r="H12" s="25"/>
      <c r="I12" s="25"/>
      <c r="J12" s="25"/>
      <c r="K12" s="25"/>
      <c r="L12" s="25"/>
      <c r="M12" s="25"/>
      <c r="N12" s="25"/>
    </row>
    <row r="13" spans="4:14" ht="15">
      <c r="D13" s="31"/>
      <c r="E13" s="25"/>
      <c r="G13" s="25"/>
      <c r="H13" s="25"/>
      <c r="I13" s="25"/>
      <c r="J13" s="25"/>
      <c r="K13" s="25"/>
      <c r="L13" s="25"/>
      <c r="M13" s="25"/>
      <c r="N13" s="25"/>
    </row>
    <row r="14" spans="2:15" ht="15">
      <c r="B14" s="22" t="s">
        <v>55</v>
      </c>
      <c r="C14" s="22"/>
      <c r="D14" s="22"/>
      <c r="E14" s="18"/>
      <c r="F14" s="18"/>
      <c r="G14" s="18"/>
      <c r="H14" s="18"/>
      <c r="I14" s="18"/>
      <c r="J14" s="18"/>
      <c r="K14" s="18"/>
      <c r="L14" s="18"/>
      <c r="M14" s="18"/>
      <c r="N14" s="18"/>
      <c r="O14" s="18"/>
    </row>
    <row r="15" spans="2:15" ht="15">
      <c r="B15" t="s">
        <v>56</v>
      </c>
      <c r="D15" s="31"/>
      <c r="E15" s="6"/>
      <c r="F15" s="6">
        <f aca="true" t="shared" si="0" ref="F15:M15">F17-F16</f>
        <v>3005356.177621986</v>
      </c>
      <c r="G15" s="6">
        <f t="shared" si="0"/>
        <v>3305891.7953841845</v>
      </c>
      <c r="H15" s="6">
        <f t="shared" si="0"/>
        <v>3636480.974922603</v>
      </c>
      <c r="I15" s="6">
        <f t="shared" si="0"/>
        <v>4000129.072414863</v>
      </c>
      <c r="J15" s="6">
        <f t="shared" si="0"/>
        <v>4400141.97965635</v>
      </c>
      <c r="K15" s="6">
        <f t="shared" si="0"/>
        <v>1189001.9242778188</v>
      </c>
      <c r="L15" s="6">
        <f t="shared" si="0"/>
        <v>1307902.1167055992</v>
      </c>
      <c r="M15" s="6">
        <f t="shared" si="0"/>
        <v>1438692.3283761593</v>
      </c>
      <c r="N15" s="6">
        <v>0</v>
      </c>
      <c r="O15" s="6">
        <v>0</v>
      </c>
    </row>
    <row r="16" spans="2:15" ht="15">
      <c r="B16" t="s">
        <v>45</v>
      </c>
      <c r="D16" s="31"/>
      <c r="E16" s="25"/>
      <c r="F16" s="25">
        <f>IF(F7=6,('Data input'!$C$49*'Financing '!$D$19),('Data input'!$C$49*'Financing '!E18))</f>
        <v>1834800</v>
      </c>
      <c r="G16" s="25">
        <f>IF(G7=6,('Data input'!$C$49*'Financing '!$D$19),('Data input'!$C$49*'Financing '!F18))</f>
        <v>1534264.3822378013</v>
      </c>
      <c r="H16" s="25">
        <f>IF(H7=6,('Data input'!$C$49*'Financing '!$D$19),('Data input'!$C$49*'Financing '!G18))</f>
        <v>1203675.202699383</v>
      </c>
      <c r="I16" s="25">
        <f>IF(I7=6,('Data input'!$C$49*'Financing '!$D$19),('Data input'!$C$49*'Financing '!H18))</f>
        <v>840027.1052071227</v>
      </c>
      <c r="J16" s="25">
        <f>IF(J7=6,('Data input'!$C$49*'Financing '!$D$19),('Data input'!$C$49*'Financing '!I18))</f>
        <v>440014.1979656364</v>
      </c>
      <c r="K16" s="25">
        <f>IF(K7=6,('Data input'!$C$49*'Financing '!$D$19),('Data input'!$C$49*'Financing '!J18))</f>
        <v>393559.6369359585</v>
      </c>
      <c r="L16" s="25">
        <f>IF(L7=6,('Data input'!$C$49*'Financing '!$D$19),('Data input'!$C$49*'Financing '!K18))</f>
        <v>274659.44450817804</v>
      </c>
      <c r="M16" s="25">
        <f>IF(M7=6,('Data input'!$C$49*'Financing '!$D$19),('Data input'!$C$49*'Financing '!L18))</f>
        <v>143869.2328376181</v>
      </c>
      <c r="N16" s="25">
        <f>IF(N7=6,('Data input'!$C$49*'Financing '!$D$19),('Data input'!$C$49*'Financing '!M18))</f>
        <v>2.1653249859809877E-09</v>
      </c>
      <c r="O16" s="25">
        <f>IF(O7=6,('Data input'!$C$49*'Financing '!$D$19),('Data input'!$C$49*'Financing '!N18))</f>
        <v>0</v>
      </c>
    </row>
    <row r="17" spans="2:15" ht="15">
      <c r="B17" s="31" t="s">
        <v>57</v>
      </c>
      <c r="C17" s="31"/>
      <c r="E17" s="27">
        <f>SUM(F17:J17)</f>
        <v>24200780.88810993</v>
      </c>
      <c r="F17" s="27">
        <f>IF(F7&lt;6,-PMT('Data input'!$C$49,'Data input'!$C$47,'Financing '!$E$18),-PMT('Data input'!$C$49,'Data input'!$C$48,'Financing '!$K$11))</f>
        <v>4840156.177621986</v>
      </c>
      <c r="G17" s="27">
        <f>IF(G7&lt;6,-PMT('Data input'!$C$49,'Data input'!$C$47,'Financing '!$E$18),-PMT('Data input'!$C$49,'Data input'!$C$48,'Financing '!$K$11))</f>
        <v>4840156.177621986</v>
      </c>
      <c r="H17" s="27">
        <f>IF(H7&lt;6,-PMT('Data input'!$C$49,'Data input'!$C$47,'Financing '!$E$18),-PMT('Data input'!$C$49,'Data input'!$C$48,'Financing '!$K$11))</f>
        <v>4840156.177621986</v>
      </c>
      <c r="I17" s="27">
        <f>IF(I7&lt;6,-PMT('Data input'!$C$49,'Data input'!$C$47,'Financing '!$E$18),-PMT('Data input'!$C$49,'Data input'!$C$48,'Financing '!$K$11))</f>
        <v>4840156.177621986</v>
      </c>
      <c r="J17" s="27">
        <f>IF(J7&lt;6,-PMT('Data input'!$C$49,'Data input'!$C$47,'Financing '!$E$18),-PMT('Data input'!$C$49,'Data input'!$C$48,'Financing '!$K$11))</f>
        <v>4840156.177621986</v>
      </c>
      <c r="K17" s="27">
        <f>IF(K7&lt;6,-PMT('Data input'!$C$49,'Data input'!$C$47,'Financing '!$E$18),-PMT('Data input'!$C$49,'Data input'!$C$48,'Financing '!$K$11))</f>
        <v>1582561.5612137774</v>
      </c>
      <c r="L17" s="27">
        <f>IF(L7&lt;6,-PMT('Data input'!$C$49,'Data input'!$C$47,'Financing '!$E$18),-PMT('Data input'!$C$49,'Data input'!$C$48,'Financing '!$K$11))</f>
        <v>1582561.5612137774</v>
      </c>
      <c r="M17" s="27">
        <f>IF(M7&lt;6,-PMT('Data input'!$C$49,'Data input'!$C$47,'Financing '!$E$18),-PMT('Data input'!$C$49,'Data input'!$C$48,'Financing '!$K$11))</f>
        <v>1582561.5612137774</v>
      </c>
      <c r="N17" s="27">
        <f>IF(N7&lt;6,-PMT('Data input'!$C$49,'Data input'!$C$47,'Financing '!$E$18),-PMT('Data input'!$C$49,'Data input'!$C$48,'Financing '!$K$11))</f>
        <v>1582561.5612137774</v>
      </c>
      <c r="O17" s="27">
        <f>IF(O7&lt;6,-PMT('Data input'!$C$49,'Data input'!$C$47,'Financing '!$E$18),-PMT('Data input'!$C$49,'Data input'!$C$48,'Financing '!$K$11))</f>
        <v>1582561.5612137774</v>
      </c>
    </row>
    <row r="18" spans="2:15" ht="15">
      <c r="B18" t="s">
        <v>58</v>
      </c>
      <c r="D18" s="35">
        <f>C18+E11-D15</f>
        <v>18348000</v>
      </c>
      <c r="E18" s="35">
        <f>IF(E7=6,(D18+$D$19-E15),(D18-E15))</f>
        <v>18348000</v>
      </c>
      <c r="F18" s="35">
        <f aca="true" t="shared" si="1" ref="F18:M18">IF(F7=6,(E18+$D$19-F15),(E18-F15))</f>
        <v>15342643.822378013</v>
      </c>
      <c r="G18" s="35">
        <f t="shared" si="1"/>
        <v>12036752.02699383</v>
      </c>
      <c r="H18" s="35">
        <f t="shared" si="1"/>
        <v>8400271.052071227</v>
      </c>
      <c r="I18" s="35">
        <f t="shared" si="1"/>
        <v>4400141.979656364</v>
      </c>
      <c r="J18" s="35">
        <f t="shared" si="1"/>
        <v>1.3969838619232178E-08</v>
      </c>
      <c r="K18" s="35">
        <f t="shared" si="1"/>
        <v>2746594.44508178</v>
      </c>
      <c r="L18" s="35">
        <f t="shared" si="1"/>
        <v>1438692.328376181</v>
      </c>
      <c r="M18" s="35">
        <f t="shared" si="1"/>
        <v>2.1653249859809875E-08</v>
      </c>
      <c r="N18" s="35"/>
      <c r="O18" s="35"/>
    </row>
    <row r="19" spans="2:15" ht="15">
      <c r="B19" t="s">
        <v>129</v>
      </c>
      <c r="D19" s="35">
        <f>+K11</f>
        <v>3935596.369359585</v>
      </c>
      <c r="F19" t="b">
        <f>ISNUMBER(F18)</f>
        <v>1</v>
      </c>
      <c r="G19" t="b">
        <f aca="true" t="shared" si="2" ref="G19:O19">ISNUMBER(G18)</f>
        <v>1</v>
      </c>
      <c r="H19" t="b">
        <f t="shared" si="2"/>
        <v>1</v>
      </c>
      <c r="I19" t="b">
        <f t="shared" si="2"/>
        <v>1</v>
      </c>
      <c r="J19" t="b">
        <f t="shared" si="2"/>
        <v>1</v>
      </c>
      <c r="K19" t="b">
        <f t="shared" si="2"/>
        <v>1</v>
      </c>
      <c r="L19" t="b">
        <f t="shared" si="2"/>
        <v>1</v>
      </c>
      <c r="M19" t="b">
        <f t="shared" si="2"/>
        <v>1</v>
      </c>
      <c r="N19" t="b">
        <f t="shared" si="2"/>
        <v>0</v>
      </c>
      <c r="O19" t="b">
        <f t="shared" si="2"/>
        <v>0</v>
      </c>
    </row>
    <row r="20" spans="4:6" ht="15">
      <c r="D20" s="31"/>
      <c r="F20" s="6"/>
    </row>
    <row r="21" spans="6:11" ht="15">
      <c r="F21" s="6"/>
      <c r="K21" s="36">
        <f>K11-K15</f>
        <v>2746594.445081766</v>
      </c>
    </row>
    <row r="22" ht="15">
      <c r="F22" s="6"/>
    </row>
    <row r="23" ht="15">
      <c r="F23" s="6"/>
    </row>
    <row r="24" ht="15">
      <c r="P24" s="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IV14"/>
  <sheetViews>
    <sheetView zoomScalePageLayoutView="0" workbookViewId="0" topLeftCell="A1">
      <selection activeCell="F13" sqref="F13"/>
    </sheetView>
  </sheetViews>
  <sheetFormatPr defaultColWidth="0" defaultRowHeight="15" zeroHeight="1"/>
  <cols>
    <col min="1" max="1" width="9.140625" style="0" customWidth="1"/>
    <col min="2" max="2" width="11.421875" style="0" customWidth="1"/>
    <col min="3" max="4" width="9.140625" style="0" customWidth="1"/>
    <col min="5" max="15" width="11.421875" style="0" customWidth="1"/>
    <col min="16" max="16384" width="9.140625" style="0" hidden="1" customWidth="1"/>
  </cols>
  <sheetData>
    <row r="1" spans="1:15" ht="18.75">
      <c r="A1" s="18"/>
      <c r="B1" s="30" t="s">
        <v>74</v>
      </c>
      <c r="C1" s="30"/>
      <c r="D1" s="30"/>
      <c r="E1" s="18"/>
      <c r="F1" s="18"/>
      <c r="G1" s="18"/>
      <c r="H1" s="18"/>
      <c r="I1" s="18"/>
      <c r="J1" s="18"/>
      <c r="K1" s="18"/>
      <c r="L1" s="18"/>
      <c r="M1" s="18"/>
      <c r="N1" s="18"/>
      <c r="O1" s="18"/>
    </row>
    <row r="2" spans="2:15" ht="18.75">
      <c r="B2" s="30" t="s">
        <v>65</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t="s">
        <v>52</v>
      </c>
      <c r="D4" s="33" t="s">
        <v>54</v>
      </c>
      <c r="E4" s="13">
        <f>'Data input'!$C$13</f>
        <v>42005</v>
      </c>
      <c r="F4" s="13">
        <f>E4+'Data input'!$C$15+1</f>
        <v>42371</v>
      </c>
      <c r="G4" s="13">
        <f>F4+'Data input'!$C$15+1</f>
        <v>42737</v>
      </c>
      <c r="H4" s="13">
        <f>G4+'Data input'!$C$15+1</f>
        <v>43103</v>
      </c>
      <c r="I4" s="13">
        <f>H4+'Data input'!$C$15+1</f>
        <v>43469</v>
      </c>
      <c r="J4" s="13">
        <f>I4+'Data input'!$C$15+1</f>
        <v>43835</v>
      </c>
      <c r="K4" s="13">
        <f>J4+'Data input'!$C$15+1</f>
        <v>44201</v>
      </c>
      <c r="L4" s="13">
        <f>K4+'Data input'!$C$15+1</f>
        <v>44567</v>
      </c>
      <c r="M4" s="13">
        <f>L4+'Data input'!$C$15+1</f>
        <v>44933</v>
      </c>
      <c r="N4" s="13">
        <f>M4+'Data input'!$C$15+1</f>
        <v>45299</v>
      </c>
      <c r="O4" s="13">
        <f>N4+'Data input'!$C$15+1</f>
        <v>45665</v>
      </c>
    </row>
    <row r="5" spans="4:15" ht="15">
      <c r="D5" s="31"/>
      <c r="E5" s="13">
        <f>E4+'Data input'!$C$15-1</f>
        <v>42369</v>
      </c>
      <c r="F5" s="13">
        <f>F4+'Data input'!$C$15-F6</f>
        <v>42735</v>
      </c>
      <c r="G5" s="13">
        <f>G4+'Data input'!$C$15-G6</f>
        <v>43100</v>
      </c>
      <c r="H5" s="13">
        <f>H4+'Data input'!$C$15-H6</f>
        <v>43465</v>
      </c>
      <c r="I5" s="13">
        <f>I4+'Data input'!$C$15-I6</f>
        <v>43830</v>
      </c>
      <c r="J5" s="13">
        <f>J4+'Data input'!$C$15-J6</f>
        <v>44195</v>
      </c>
      <c r="K5" s="13">
        <f>K4+'Data input'!$C$15-K6</f>
        <v>44560</v>
      </c>
      <c r="L5" s="13">
        <f>L4+'Data input'!$C$15-L6</f>
        <v>44925</v>
      </c>
      <c r="M5" s="13">
        <f>M4+'Data input'!$C$15-M6</f>
        <v>45290</v>
      </c>
      <c r="N5" s="13">
        <f>N4+'Data input'!$C$15-N6</f>
        <v>45655</v>
      </c>
      <c r="O5" s="13">
        <f>O4+'Data input'!$C$15-O6</f>
        <v>46020</v>
      </c>
    </row>
    <row r="6" spans="5:15" ht="15">
      <c r="E6">
        <v>0</v>
      </c>
      <c r="F6">
        <v>1</v>
      </c>
      <c r="G6">
        <v>2</v>
      </c>
      <c r="H6">
        <v>3</v>
      </c>
      <c r="I6">
        <v>4</v>
      </c>
      <c r="J6">
        <v>5</v>
      </c>
      <c r="K6">
        <v>6</v>
      </c>
      <c r="L6">
        <v>7</v>
      </c>
      <c r="M6">
        <v>8</v>
      </c>
      <c r="N6">
        <v>9</v>
      </c>
      <c r="O6">
        <v>10</v>
      </c>
    </row>
    <row r="7" spans="2:256" ht="15">
      <c r="B7" t="s">
        <v>102</v>
      </c>
      <c r="E7" s="6">
        <f>IF(E6&lt;=4,('Capital investment'!$D$15),('Capital investment'!$D$15+'Capital investment'!$J$15-'Capital investment'!$D$11))</f>
        <v>20850000</v>
      </c>
      <c r="F7" s="6">
        <f>IF(F6&lt;=5,('Capital investment'!$D$15),('Capital investment'!$D$15+'Capital investment'!$J$15-'Capital investment'!$D$11))</f>
        <v>20850000</v>
      </c>
      <c r="G7" s="6">
        <f>IF(G6&lt;=5,('Capital investment'!$D$15),('Capital investment'!$D$15+'Capital investment'!$J$15-'Capital investment'!$D$11))</f>
        <v>20850000</v>
      </c>
      <c r="H7" s="6">
        <f>IF(H6&lt;=5,('Capital investment'!$D$15),('Capital investment'!$D$15+'Capital investment'!$J$15-'Capital investment'!$D$11))</f>
        <v>20850000</v>
      </c>
      <c r="I7" s="6">
        <f>IF(I6&lt;=5,('Capital investment'!$D$15),('Capital investment'!$D$15+'Capital investment'!$J$15-'Capital investment'!$D$11))</f>
        <v>20850000</v>
      </c>
      <c r="J7" s="6">
        <f>IF(J6&lt;=5,('Capital investment'!$D$15),('Capital investment'!$D$15+'Capital investment'!$J$15-'Capital investment'!$D$11))</f>
        <v>20850000</v>
      </c>
      <c r="K7" s="6">
        <f>IF(K6&lt;=5,('Capital investment'!$D$15),('Capital investment'!$D$15+'Capital investment'!$J$15-'Capital investment'!$D$11))</f>
        <v>21769495.461699482</v>
      </c>
      <c r="L7" s="6">
        <f>IF(L6&lt;=5,('Capital investment'!$D$15),('Capital investment'!$D$15+'Capital investment'!$J$15-'Capital investment'!$D$11))</f>
        <v>21769495.461699482</v>
      </c>
      <c r="M7" s="6">
        <f>IF(M6&lt;=5,('Capital investment'!$D$15),('Capital investment'!$D$15+'Capital investment'!$J$15-'Capital investment'!$D$11))</f>
        <v>21769495.461699482</v>
      </c>
      <c r="N7" s="6">
        <f>IF(N6&lt;=5,('Capital investment'!$D$15),('Capital investment'!$D$15+'Capital investment'!$J$15-'Capital investment'!$D$11))</f>
        <v>21769495.461699482</v>
      </c>
      <c r="O7" s="6">
        <f>IF(O6&lt;=5,('Capital investment'!$D$15),('Capital investment'!$D$15+'Capital investment'!$J$15-'Capital investment'!$D$11))</f>
        <v>21769495.461699482</v>
      </c>
      <c r="P7" s="6">
        <f>IF(P6&lt;=5,('Capital investment'!$D$15),('Capital investment'!$D$15+'Capital investment'!$J$15-'Capital investment'!$D$11))</f>
        <v>20850000</v>
      </c>
      <c r="Q7" s="6">
        <f>IF(Q6&lt;=5,('Capital investment'!$D$15),('Capital investment'!$D$15+'Capital investment'!$J$15-'Capital investment'!$D$11))</f>
        <v>20850000</v>
      </c>
      <c r="R7" s="6">
        <f>IF(R6&lt;=5,('Capital investment'!$D$15),('Capital investment'!$D$15+'Capital investment'!$J$15-'Capital investment'!$D$11))</f>
        <v>20850000</v>
      </c>
      <c r="S7" s="6">
        <f>IF(S6&lt;=5,('Capital investment'!$D$15),('Capital investment'!$D$15+'Capital investment'!$J$15-'Capital investment'!$D$11))</f>
        <v>20850000</v>
      </c>
      <c r="T7" s="6">
        <f>IF(T6&lt;=5,('Capital investment'!$D$15),('Capital investment'!$D$15+'Capital investment'!$J$15-'Capital investment'!$D$11))</f>
        <v>20850000</v>
      </c>
      <c r="U7" s="6">
        <f>IF(U6&lt;=5,('Capital investment'!$D$15),('Capital investment'!$D$15+'Capital investment'!$J$15-'Capital investment'!$D$11))</f>
        <v>20850000</v>
      </c>
      <c r="V7" s="6">
        <f>IF(V6&lt;=5,('Capital investment'!$D$15),('Capital investment'!$D$15+'Capital investment'!$J$15-'Capital investment'!$D$11))</f>
        <v>20850000</v>
      </c>
      <c r="W7" s="6">
        <f>IF(W6&lt;=5,('Capital investment'!$D$15),('Capital investment'!$D$15+'Capital investment'!$J$15-'Capital investment'!$D$11))</f>
        <v>20850000</v>
      </c>
      <c r="X7" s="6">
        <f>IF(X6&lt;=5,('Capital investment'!$D$15),('Capital investment'!$D$15+'Capital investment'!$J$15-'Capital investment'!$D$11))</f>
        <v>20850000</v>
      </c>
      <c r="Y7" s="6">
        <f>IF(Y6&lt;=5,('Capital investment'!$D$15),('Capital investment'!$D$15+'Capital investment'!$J$15-'Capital investment'!$D$11))</f>
        <v>20850000</v>
      </c>
      <c r="Z7" s="6">
        <f>IF(Z6&lt;=5,('Capital investment'!$D$15),('Capital investment'!$D$15+'Capital investment'!$J$15-'Capital investment'!$D$11))</f>
        <v>20850000</v>
      </c>
      <c r="AA7" s="6">
        <f>IF(AA6&lt;=5,('Capital investment'!$D$15),('Capital investment'!$D$15+'Capital investment'!$J$15-'Capital investment'!$D$11))</f>
        <v>20850000</v>
      </c>
      <c r="AB7" s="6">
        <f>IF(AB6&lt;=5,('Capital investment'!$D$15),('Capital investment'!$D$15+'Capital investment'!$J$15-'Capital investment'!$D$11))</f>
        <v>20850000</v>
      </c>
      <c r="AC7" s="6">
        <f>IF(AC6&lt;=5,('Capital investment'!$D$15),('Capital investment'!$D$15+'Capital investment'!$J$15-'Capital investment'!$D$11))</f>
        <v>20850000</v>
      </c>
      <c r="AD7" s="6">
        <f>IF(AD6&lt;=5,('Capital investment'!$D$15),('Capital investment'!$D$15+'Capital investment'!$J$15-'Capital investment'!$D$11))</f>
        <v>20850000</v>
      </c>
      <c r="AE7" s="6">
        <f>IF(AE6&lt;=5,('Capital investment'!$D$15),('Capital investment'!$D$15+'Capital investment'!$J$15-'Capital investment'!$D$11))</f>
        <v>20850000</v>
      </c>
      <c r="AF7" s="6">
        <f>IF(AF6&lt;=5,('Capital investment'!$D$15),('Capital investment'!$D$15+'Capital investment'!$J$15-'Capital investment'!$D$11))</f>
        <v>20850000</v>
      </c>
      <c r="AG7" s="6">
        <f>IF(AG6&lt;=5,('Capital investment'!$D$15),('Capital investment'!$D$15+'Capital investment'!$J$15-'Capital investment'!$D$11))</f>
        <v>20850000</v>
      </c>
      <c r="AH7" s="6">
        <f>IF(AH6&lt;=5,('Capital investment'!$D$15),('Capital investment'!$D$15+'Capital investment'!$J$15-'Capital investment'!$D$11))</f>
        <v>20850000</v>
      </c>
      <c r="AI7" s="6">
        <f>IF(AI6&lt;=5,('Capital investment'!$D$15),('Capital investment'!$D$15+'Capital investment'!$J$15-'Capital investment'!$D$11))</f>
        <v>20850000</v>
      </c>
      <c r="AJ7" s="6">
        <f>IF(AJ6&lt;=5,('Capital investment'!$D$15),('Capital investment'!$D$15+'Capital investment'!$J$15-'Capital investment'!$D$11))</f>
        <v>20850000</v>
      </c>
      <c r="AK7" s="6">
        <f>IF(AK6&lt;=5,('Capital investment'!$D$15),('Capital investment'!$D$15+'Capital investment'!$J$15-'Capital investment'!$D$11))</f>
        <v>20850000</v>
      </c>
      <c r="AL7" s="6">
        <f>IF(AL6&lt;=5,('Capital investment'!$D$15),('Capital investment'!$D$15+'Capital investment'!$J$15-'Capital investment'!$D$11))</f>
        <v>20850000</v>
      </c>
      <c r="AM7" s="6">
        <f>IF(AM6&lt;=5,('Capital investment'!$D$15),('Capital investment'!$D$15+'Capital investment'!$J$15-'Capital investment'!$D$11))</f>
        <v>20850000</v>
      </c>
      <c r="AN7" s="6">
        <f>IF(AN6&lt;=5,('Capital investment'!$D$15),('Capital investment'!$D$15+'Capital investment'!$J$15-'Capital investment'!$D$11))</f>
        <v>20850000</v>
      </c>
      <c r="AO7" s="6">
        <f>IF(AO6&lt;=5,('Capital investment'!$D$15),('Capital investment'!$D$15+'Capital investment'!$J$15-'Capital investment'!$D$11))</f>
        <v>20850000</v>
      </c>
      <c r="AP7" s="6">
        <f>IF(AP6&lt;=5,('Capital investment'!$D$15),('Capital investment'!$D$15+'Capital investment'!$J$15-'Capital investment'!$D$11))</f>
        <v>20850000</v>
      </c>
      <c r="AQ7" s="6">
        <f>IF(AQ6&lt;=5,('Capital investment'!$D$15),('Capital investment'!$D$15+'Capital investment'!$J$15-'Capital investment'!$D$11))</f>
        <v>20850000</v>
      </c>
      <c r="AR7" s="6">
        <f>IF(AR6&lt;=5,('Capital investment'!$D$15),('Capital investment'!$D$15+'Capital investment'!$J$15-'Capital investment'!$D$11))</f>
        <v>20850000</v>
      </c>
      <c r="AS7" s="6">
        <f>IF(AS6&lt;=5,('Capital investment'!$D$15),('Capital investment'!$D$15+'Capital investment'!$J$15-'Capital investment'!$D$11))</f>
        <v>20850000</v>
      </c>
      <c r="AT7" s="6">
        <f>IF(AT6&lt;=5,('Capital investment'!$D$15),('Capital investment'!$D$15+'Capital investment'!$J$15-'Capital investment'!$D$11))</f>
        <v>20850000</v>
      </c>
      <c r="AU7" s="6">
        <f>IF(AU6&lt;=5,('Capital investment'!$D$15),('Capital investment'!$D$15+'Capital investment'!$J$15-'Capital investment'!$D$11))</f>
        <v>20850000</v>
      </c>
      <c r="AV7" s="6">
        <f>IF(AV6&lt;=5,('Capital investment'!$D$15),('Capital investment'!$D$15+'Capital investment'!$J$15-'Capital investment'!$D$11))</f>
        <v>20850000</v>
      </c>
      <c r="AW7" s="6">
        <f>IF(AW6&lt;=5,('Capital investment'!$D$15),('Capital investment'!$D$15+'Capital investment'!$J$15-'Capital investment'!$D$11))</f>
        <v>20850000</v>
      </c>
      <c r="AX7" s="6">
        <f>IF(AX6&lt;=5,('Capital investment'!$D$15),('Capital investment'!$D$15+'Capital investment'!$J$15-'Capital investment'!$D$11))</f>
        <v>20850000</v>
      </c>
      <c r="AY7" s="6">
        <f>IF(AY6&lt;=5,('Capital investment'!$D$15),('Capital investment'!$D$15+'Capital investment'!$J$15-'Capital investment'!$D$11))</f>
        <v>20850000</v>
      </c>
      <c r="AZ7" s="6">
        <f>IF(AZ6&lt;=5,('Capital investment'!$D$15),('Capital investment'!$D$15+'Capital investment'!$J$15-'Capital investment'!$D$11))</f>
        <v>20850000</v>
      </c>
      <c r="BA7" s="6">
        <f>IF(BA6&lt;=5,('Capital investment'!$D$15),('Capital investment'!$D$15+'Capital investment'!$J$15-'Capital investment'!$D$11))</f>
        <v>20850000</v>
      </c>
      <c r="BB7" s="6">
        <f>IF(BB6&lt;=5,('Capital investment'!$D$15),('Capital investment'!$D$15+'Capital investment'!$J$15-'Capital investment'!$D$11))</f>
        <v>20850000</v>
      </c>
      <c r="BC7" s="6">
        <f>IF(BC6&lt;=5,('Capital investment'!$D$15),('Capital investment'!$D$15+'Capital investment'!$J$15-'Capital investment'!$D$11))</f>
        <v>20850000</v>
      </c>
      <c r="BD7" s="6">
        <f>IF(BD6&lt;=5,('Capital investment'!$D$15),('Capital investment'!$D$15+'Capital investment'!$J$15-'Capital investment'!$D$11))</f>
        <v>20850000</v>
      </c>
      <c r="BE7" s="6">
        <f>IF(BE6&lt;=5,('Capital investment'!$D$15),('Capital investment'!$D$15+'Capital investment'!$J$15-'Capital investment'!$D$11))</f>
        <v>20850000</v>
      </c>
      <c r="BF7" s="6">
        <f>IF(BF6&lt;=5,('Capital investment'!$D$15),('Capital investment'!$D$15+'Capital investment'!$J$15-'Capital investment'!$D$11))</f>
        <v>20850000</v>
      </c>
      <c r="BG7" s="6">
        <f>IF(BG6&lt;=5,('Capital investment'!$D$15),('Capital investment'!$D$15+'Capital investment'!$J$15-'Capital investment'!$D$11))</f>
        <v>20850000</v>
      </c>
      <c r="BH7" s="6">
        <f>IF(BH6&lt;=5,('Capital investment'!$D$15),('Capital investment'!$D$15+'Capital investment'!$J$15-'Capital investment'!$D$11))</f>
        <v>20850000</v>
      </c>
      <c r="BI7" s="6">
        <f>IF(BI6&lt;=5,('Capital investment'!$D$15),('Capital investment'!$D$15+'Capital investment'!$J$15-'Capital investment'!$D$11))</f>
        <v>20850000</v>
      </c>
      <c r="BJ7" s="6">
        <f>IF(BJ6&lt;=5,('Capital investment'!$D$15),('Capital investment'!$D$15+'Capital investment'!$J$15-'Capital investment'!$D$11))</f>
        <v>20850000</v>
      </c>
      <c r="BK7" s="6">
        <f>IF(BK6&lt;=5,('Capital investment'!$D$15),('Capital investment'!$D$15+'Capital investment'!$J$15-'Capital investment'!$D$11))</f>
        <v>20850000</v>
      </c>
      <c r="BL7" s="6">
        <f>IF(BL6&lt;=5,('Capital investment'!$D$15),('Capital investment'!$D$15+'Capital investment'!$J$15-'Capital investment'!$D$11))</f>
        <v>20850000</v>
      </c>
      <c r="BM7" s="6">
        <f>IF(BM6&lt;=5,('Capital investment'!$D$15),('Capital investment'!$D$15+'Capital investment'!$J$15-'Capital investment'!$D$11))</f>
        <v>20850000</v>
      </c>
      <c r="BN7" s="6">
        <f>IF(BN6&lt;=5,('Capital investment'!$D$15),('Capital investment'!$D$15+'Capital investment'!$J$15-'Capital investment'!$D$11))</f>
        <v>20850000</v>
      </c>
      <c r="BO7" s="6">
        <f>IF(BO6&lt;=5,('Capital investment'!$D$15),('Capital investment'!$D$15+'Capital investment'!$J$15-'Capital investment'!$D$11))</f>
        <v>20850000</v>
      </c>
      <c r="BP7" s="6">
        <f>IF(BP6&lt;=5,('Capital investment'!$D$15),('Capital investment'!$D$15+'Capital investment'!$J$15-'Capital investment'!$D$11))</f>
        <v>20850000</v>
      </c>
      <c r="BQ7" s="6">
        <f>IF(BQ6&lt;=5,('Capital investment'!$D$15),('Capital investment'!$D$15+'Capital investment'!$J$15-'Capital investment'!$D$11))</f>
        <v>20850000</v>
      </c>
      <c r="BR7" s="6">
        <f>IF(BR6&lt;=5,('Capital investment'!$D$15),('Capital investment'!$D$15+'Capital investment'!$J$15-'Capital investment'!$D$11))</f>
        <v>20850000</v>
      </c>
      <c r="BS7" s="6">
        <f>IF(BS6&lt;=5,('Capital investment'!$D$15),('Capital investment'!$D$15+'Capital investment'!$J$15-'Capital investment'!$D$11))</f>
        <v>20850000</v>
      </c>
      <c r="BT7" s="6">
        <f>IF(BT6&lt;=5,('Capital investment'!$D$15),('Capital investment'!$D$15+'Capital investment'!$J$15-'Capital investment'!$D$11))</f>
        <v>20850000</v>
      </c>
      <c r="BU7" s="6">
        <f>IF(BU6&lt;=5,('Capital investment'!$D$15),('Capital investment'!$D$15+'Capital investment'!$J$15-'Capital investment'!$D$11))</f>
        <v>20850000</v>
      </c>
      <c r="BV7" s="6">
        <f>IF(BV6&lt;=5,('Capital investment'!$D$15),('Capital investment'!$D$15+'Capital investment'!$J$15-'Capital investment'!$D$11))</f>
        <v>20850000</v>
      </c>
      <c r="BW7" s="6">
        <f>IF(BW6&lt;=5,('Capital investment'!$D$15),('Capital investment'!$D$15+'Capital investment'!$J$15-'Capital investment'!$D$11))</f>
        <v>20850000</v>
      </c>
      <c r="BX7" s="6">
        <f>IF(BX6&lt;=5,('Capital investment'!$D$15),('Capital investment'!$D$15+'Capital investment'!$J$15-'Capital investment'!$D$11))</f>
        <v>20850000</v>
      </c>
      <c r="BY7" s="6">
        <f>IF(BY6&lt;=5,('Capital investment'!$D$15),('Capital investment'!$D$15+'Capital investment'!$J$15-'Capital investment'!$D$11))</f>
        <v>20850000</v>
      </c>
      <c r="BZ7" s="6">
        <f>IF(BZ6&lt;=5,('Capital investment'!$D$15),('Capital investment'!$D$15+'Capital investment'!$J$15-'Capital investment'!$D$11))</f>
        <v>20850000</v>
      </c>
      <c r="CA7" s="6">
        <f>IF(CA6&lt;=5,('Capital investment'!$D$15),('Capital investment'!$D$15+'Capital investment'!$J$15-'Capital investment'!$D$11))</f>
        <v>20850000</v>
      </c>
      <c r="CB7" s="6">
        <f>IF(CB6&lt;=5,('Capital investment'!$D$15),('Capital investment'!$D$15+'Capital investment'!$J$15-'Capital investment'!$D$11))</f>
        <v>20850000</v>
      </c>
      <c r="CC7" s="6">
        <f>IF(CC6&lt;=5,('Capital investment'!$D$15),('Capital investment'!$D$15+'Capital investment'!$J$15-'Capital investment'!$D$11))</f>
        <v>20850000</v>
      </c>
      <c r="CD7" s="6">
        <f>IF(CD6&lt;=5,('Capital investment'!$D$15),('Capital investment'!$D$15+'Capital investment'!$J$15-'Capital investment'!$D$11))</f>
        <v>20850000</v>
      </c>
      <c r="CE7" s="6">
        <f>IF(CE6&lt;=5,('Capital investment'!$D$15),('Capital investment'!$D$15+'Capital investment'!$J$15-'Capital investment'!$D$11))</f>
        <v>20850000</v>
      </c>
      <c r="CF7" s="6">
        <f>IF(CF6&lt;=5,('Capital investment'!$D$15),('Capital investment'!$D$15+'Capital investment'!$J$15-'Capital investment'!$D$11))</f>
        <v>20850000</v>
      </c>
      <c r="CG7" s="6">
        <f>IF(CG6&lt;=5,('Capital investment'!$D$15),('Capital investment'!$D$15+'Capital investment'!$J$15-'Capital investment'!$D$11))</f>
        <v>20850000</v>
      </c>
      <c r="CH7" s="6">
        <f>IF(CH6&lt;=5,('Capital investment'!$D$15),('Capital investment'!$D$15+'Capital investment'!$J$15-'Capital investment'!$D$11))</f>
        <v>20850000</v>
      </c>
      <c r="CI7" s="6">
        <f>IF(CI6&lt;=5,('Capital investment'!$D$15),('Capital investment'!$D$15+'Capital investment'!$J$15-'Capital investment'!$D$11))</f>
        <v>20850000</v>
      </c>
      <c r="CJ7" s="6">
        <f>IF(CJ6&lt;=5,('Capital investment'!$D$15),('Capital investment'!$D$15+'Capital investment'!$J$15-'Capital investment'!$D$11))</f>
        <v>20850000</v>
      </c>
      <c r="CK7" s="6">
        <f>IF(CK6&lt;=5,('Capital investment'!$D$15),('Capital investment'!$D$15+'Capital investment'!$J$15-'Capital investment'!$D$11))</f>
        <v>20850000</v>
      </c>
      <c r="CL7" s="6">
        <f>IF(CL6&lt;=5,('Capital investment'!$D$15),('Capital investment'!$D$15+'Capital investment'!$J$15-'Capital investment'!$D$11))</f>
        <v>20850000</v>
      </c>
      <c r="CM7" s="6">
        <f>IF(CM6&lt;=5,('Capital investment'!$D$15),('Capital investment'!$D$15+'Capital investment'!$J$15-'Capital investment'!$D$11))</f>
        <v>20850000</v>
      </c>
      <c r="CN7" s="6">
        <f>IF(CN6&lt;=5,('Capital investment'!$D$15),('Capital investment'!$D$15+'Capital investment'!$J$15-'Capital investment'!$D$11))</f>
        <v>20850000</v>
      </c>
      <c r="CO7" s="6">
        <f>IF(CO6&lt;=5,('Capital investment'!$D$15),('Capital investment'!$D$15+'Capital investment'!$J$15-'Capital investment'!$D$11))</f>
        <v>20850000</v>
      </c>
      <c r="CP7" s="6">
        <f>IF(CP6&lt;=5,('Capital investment'!$D$15),('Capital investment'!$D$15+'Capital investment'!$J$15-'Capital investment'!$D$11))</f>
        <v>20850000</v>
      </c>
      <c r="CQ7" s="6">
        <f>IF(CQ6&lt;=5,('Capital investment'!$D$15),('Capital investment'!$D$15+'Capital investment'!$J$15-'Capital investment'!$D$11))</f>
        <v>20850000</v>
      </c>
      <c r="CR7" s="6">
        <f>IF(CR6&lt;=5,('Capital investment'!$D$15),('Capital investment'!$D$15+'Capital investment'!$J$15-'Capital investment'!$D$11))</f>
        <v>20850000</v>
      </c>
      <c r="CS7" s="6">
        <f>IF(CS6&lt;=5,('Capital investment'!$D$15),('Capital investment'!$D$15+'Capital investment'!$J$15-'Capital investment'!$D$11))</f>
        <v>20850000</v>
      </c>
      <c r="CT7" s="6">
        <f>IF(CT6&lt;=5,('Capital investment'!$D$15),('Capital investment'!$D$15+'Capital investment'!$J$15-'Capital investment'!$D$11))</f>
        <v>20850000</v>
      </c>
      <c r="CU7" s="6">
        <f>IF(CU6&lt;=5,('Capital investment'!$D$15),('Capital investment'!$D$15+'Capital investment'!$J$15-'Capital investment'!$D$11))</f>
        <v>20850000</v>
      </c>
      <c r="CV7" s="6">
        <f>IF(CV6&lt;=5,('Capital investment'!$D$15),('Capital investment'!$D$15+'Capital investment'!$J$15-'Capital investment'!$D$11))</f>
        <v>20850000</v>
      </c>
      <c r="CW7" s="6">
        <f>IF(CW6&lt;=5,('Capital investment'!$D$15),('Capital investment'!$D$15+'Capital investment'!$J$15-'Capital investment'!$D$11))</f>
        <v>20850000</v>
      </c>
      <c r="CX7" s="6">
        <f>IF(CX6&lt;=5,('Capital investment'!$D$15),('Capital investment'!$D$15+'Capital investment'!$J$15-'Capital investment'!$D$11))</f>
        <v>20850000</v>
      </c>
      <c r="CY7" s="6">
        <f>IF(CY6&lt;=5,('Capital investment'!$D$15),('Capital investment'!$D$15+'Capital investment'!$J$15-'Capital investment'!$D$11))</f>
        <v>20850000</v>
      </c>
      <c r="CZ7" s="6">
        <f>IF(CZ6&lt;=5,('Capital investment'!$D$15),('Capital investment'!$D$15+'Capital investment'!$J$15-'Capital investment'!$D$11))</f>
        <v>20850000</v>
      </c>
      <c r="DA7" s="6">
        <f>IF(DA6&lt;=5,('Capital investment'!$D$15),('Capital investment'!$D$15+'Capital investment'!$J$15-'Capital investment'!$D$11))</f>
        <v>20850000</v>
      </c>
      <c r="DB7" s="6">
        <f>IF(DB6&lt;=5,('Capital investment'!$D$15),('Capital investment'!$D$15+'Capital investment'!$J$15-'Capital investment'!$D$11))</f>
        <v>20850000</v>
      </c>
      <c r="DC7" s="6">
        <f>IF(DC6&lt;=5,('Capital investment'!$D$15),('Capital investment'!$D$15+'Capital investment'!$J$15-'Capital investment'!$D$11))</f>
        <v>20850000</v>
      </c>
      <c r="DD7" s="6">
        <f>IF(DD6&lt;=5,('Capital investment'!$D$15),('Capital investment'!$D$15+'Capital investment'!$J$15-'Capital investment'!$D$11))</f>
        <v>20850000</v>
      </c>
      <c r="DE7" s="6">
        <f>IF(DE6&lt;=5,('Capital investment'!$D$15),('Capital investment'!$D$15+'Capital investment'!$J$15-'Capital investment'!$D$11))</f>
        <v>20850000</v>
      </c>
      <c r="DF7" s="6">
        <f>IF(DF6&lt;=5,('Capital investment'!$D$15),('Capital investment'!$D$15+'Capital investment'!$J$15-'Capital investment'!$D$11))</f>
        <v>20850000</v>
      </c>
      <c r="DG7" s="6">
        <f>IF(DG6&lt;=5,('Capital investment'!$D$15),('Capital investment'!$D$15+'Capital investment'!$J$15-'Capital investment'!$D$11))</f>
        <v>20850000</v>
      </c>
      <c r="DH7" s="6">
        <f>IF(DH6&lt;=5,('Capital investment'!$D$15),('Capital investment'!$D$15+'Capital investment'!$J$15-'Capital investment'!$D$11))</f>
        <v>20850000</v>
      </c>
      <c r="DI7" s="6">
        <f>IF(DI6&lt;=5,('Capital investment'!$D$15),('Capital investment'!$D$15+'Capital investment'!$J$15-'Capital investment'!$D$11))</f>
        <v>20850000</v>
      </c>
      <c r="DJ7" s="6">
        <f>IF(DJ6&lt;=5,('Capital investment'!$D$15),('Capital investment'!$D$15+'Capital investment'!$J$15-'Capital investment'!$D$11))</f>
        <v>20850000</v>
      </c>
      <c r="DK7" s="6">
        <f>IF(DK6&lt;=5,('Capital investment'!$D$15),('Capital investment'!$D$15+'Capital investment'!$J$15-'Capital investment'!$D$11))</f>
        <v>20850000</v>
      </c>
      <c r="DL7" s="6">
        <f>IF(DL6&lt;=5,('Capital investment'!$D$15),('Capital investment'!$D$15+'Capital investment'!$J$15-'Capital investment'!$D$11))</f>
        <v>20850000</v>
      </c>
      <c r="DM7" s="6">
        <f>IF(DM6&lt;=5,('Capital investment'!$D$15),('Capital investment'!$D$15+'Capital investment'!$J$15-'Capital investment'!$D$11))</f>
        <v>20850000</v>
      </c>
      <c r="DN7" s="6">
        <f>IF(DN6&lt;=5,('Capital investment'!$D$15),('Capital investment'!$D$15+'Capital investment'!$J$15-'Capital investment'!$D$11))</f>
        <v>20850000</v>
      </c>
      <c r="DO7" s="6">
        <f>IF(DO6&lt;=5,('Capital investment'!$D$15),('Capital investment'!$D$15+'Capital investment'!$J$15-'Capital investment'!$D$11))</f>
        <v>20850000</v>
      </c>
      <c r="DP7" s="6">
        <f>IF(DP6&lt;=5,('Capital investment'!$D$15),('Capital investment'!$D$15+'Capital investment'!$J$15-'Capital investment'!$D$11))</f>
        <v>20850000</v>
      </c>
      <c r="DQ7" s="6">
        <f>IF(DQ6&lt;=5,('Capital investment'!$D$15),('Capital investment'!$D$15+'Capital investment'!$J$15-'Capital investment'!$D$11))</f>
        <v>20850000</v>
      </c>
      <c r="DR7" s="6">
        <f>IF(DR6&lt;=5,('Capital investment'!$D$15),('Capital investment'!$D$15+'Capital investment'!$J$15-'Capital investment'!$D$11))</f>
        <v>20850000</v>
      </c>
      <c r="DS7" s="6">
        <f>IF(DS6&lt;=5,('Capital investment'!$D$15),('Capital investment'!$D$15+'Capital investment'!$J$15-'Capital investment'!$D$11))</f>
        <v>20850000</v>
      </c>
      <c r="DT7" s="6">
        <f>IF(DT6&lt;=5,('Capital investment'!$D$15),('Capital investment'!$D$15+'Capital investment'!$J$15-'Capital investment'!$D$11))</f>
        <v>20850000</v>
      </c>
      <c r="DU7" s="6">
        <f>IF(DU6&lt;=5,('Capital investment'!$D$15),('Capital investment'!$D$15+'Capital investment'!$J$15-'Capital investment'!$D$11))</f>
        <v>20850000</v>
      </c>
      <c r="DV7" s="6">
        <f>IF(DV6&lt;=5,('Capital investment'!$D$15),('Capital investment'!$D$15+'Capital investment'!$J$15-'Capital investment'!$D$11))</f>
        <v>20850000</v>
      </c>
      <c r="DW7" s="6">
        <f>IF(DW6&lt;=5,('Capital investment'!$D$15),('Capital investment'!$D$15+'Capital investment'!$J$15-'Capital investment'!$D$11))</f>
        <v>20850000</v>
      </c>
      <c r="DX7" s="6">
        <f>IF(DX6&lt;=5,('Capital investment'!$D$15),('Capital investment'!$D$15+'Capital investment'!$J$15-'Capital investment'!$D$11))</f>
        <v>20850000</v>
      </c>
      <c r="DY7" s="6">
        <f>IF(DY6&lt;=5,('Capital investment'!$D$15),('Capital investment'!$D$15+'Capital investment'!$J$15-'Capital investment'!$D$11))</f>
        <v>20850000</v>
      </c>
      <c r="DZ7" s="6">
        <f>IF(DZ6&lt;=5,('Capital investment'!$D$15),('Capital investment'!$D$15+'Capital investment'!$J$15-'Capital investment'!$D$11))</f>
        <v>20850000</v>
      </c>
      <c r="EA7" s="6">
        <f>IF(EA6&lt;=5,('Capital investment'!$D$15),('Capital investment'!$D$15+'Capital investment'!$J$15-'Capital investment'!$D$11))</f>
        <v>20850000</v>
      </c>
      <c r="EB7" s="6">
        <f>IF(EB6&lt;=5,('Capital investment'!$D$15),('Capital investment'!$D$15+'Capital investment'!$J$15-'Capital investment'!$D$11))</f>
        <v>20850000</v>
      </c>
      <c r="EC7" s="6">
        <f>IF(EC6&lt;=5,('Capital investment'!$D$15),('Capital investment'!$D$15+'Capital investment'!$J$15-'Capital investment'!$D$11))</f>
        <v>20850000</v>
      </c>
      <c r="ED7" s="6">
        <f>IF(ED6&lt;=5,('Capital investment'!$D$15),('Capital investment'!$D$15+'Capital investment'!$J$15-'Capital investment'!$D$11))</f>
        <v>20850000</v>
      </c>
      <c r="EE7" s="6">
        <f>IF(EE6&lt;=5,('Capital investment'!$D$15),('Capital investment'!$D$15+'Capital investment'!$J$15-'Capital investment'!$D$11))</f>
        <v>20850000</v>
      </c>
      <c r="EF7" s="6">
        <f>IF(EF6&lt;=5,('Capital investment'!$D$15),('Capital investment'!$D$15+'Capital investment'!$J$15-'Capital investment'!$D$11))</f>
        <v>20850000</v>
      </c>
      <c r="EG7" s="6">
        <f>IF(EG6&lt;=5,('Capital investment'!$D$15),('Capital investment'!$D$15+'Capital investment'!$J$15-'Capital investment'!$D$11))</f>
        <v>20850000</v>
      </c>
      <c r="EH7" s="6">
        <f>IF(EH6&lt;=5,('Capital investment'!$D$15),('Capital investment'!$D$15+'Capital investment'!$J$15-'Capital investment'!$D$11))</f>
        <v>20850000</v>
      </c>
      <c r="EI7" s="6">
        <f>IF(EI6&lt;=5,('Capital investment'!$D$15),('Capital investment'!$D$15+'Capital investment'!$J$15-'Capital investment'!$D$11))</f>
        <v>20850000</v>
      </c>
      <c r="EJ7" s="6">
        <f>IF(EJ6&lt;=5,('Capital investment'!$D$15),('Capital investment'!$D$15+'Capital investment'!$J$15-'Capital investment'!$D$11))</f>
        <v>20850000</v>
      </c>
      <c r="EK7" s="6">
        <f>IF(EK6&lt;=5,('Capital investment'!$D$15),('Capital investment'!$D$15+'Capital investment'!$J$15-'Capital investment'!$D$11))</f>
        <v>20850000</v>
      </c>
      <c r="EL7" s="6">
        <f>IF(EL6&lt;=5,('Capital investment'!$D$15),('Capital investment'!$D$15+'Capital investment'!$J$15-'Capital investment'!$D$11))</f>
        <v>20850000</v>
      </c>
      <c r="EM7" s="6">
        <f>IF(EM6&lt;=5,('Capital investment'!$D$15),('Capital investment'!$D$15+'Capital investment'!$J$15-'Capital investment'!$D$11))</f>
        <v>20850000</v>
      </c>
      <c r="EN7" s="6">
        <f>IF(EN6&lt;=5,('Capital investment'!$D$15),('Capital investment'!$D$15+'Capital investment'!$J$15-'Capital investment'!$D$11))</f>
        <v>20850000</v>
      </c>
      <c r="EO7" s="6">
        <f>IF(EO6&lt;=5,('Capital investment'!$D$15),('Capital investment'!$D$15+'Capital investment'!$J$15-'Capital investment'!$D$11))</f>
        <v>20850000</v>
      </c>
      <c r="EP7" s="6">
        <f>IF(EP6&lt;=5,('Capital investment'!$D$15),('Capital investment'!$D$15+'Capital investment'!$J$15-'Capital investment'!$D$11))</f>
        <v>20850000</v>
      </c>
      <c r="EQ7" s="6">
        <f>IF(EQ6&lt;=5,('Capital investment'!$D$15),('Capital investment'!$D$15+'Capital investment'!$J$15-'Capital investment'!$D$11))</f>
        <v>20850000</v>
      </c>
      <c r="ER7" s="6">
        <f>IF(ER6&lt;=5,('Capital investment'!$D$15),('Capital investment'!$D$15+'Capital investment'!$J$15-'Capital investment'!$D$11))</f>
        <v>20850000</v>
      </c>
      <c r="ES7" s="6">
        <f>IF(ES6&lt;=5,('Capital investment'!$D$15),('Capital investment'!$D$15+'Capital investment'!$J$15-'Capital investment'!$D$11))</f>
        <v>20850000</v>
      </c>
      <c r="ET7" s="6">
        <f>IF(ET6&lt;=5,('Capital investment'!$D$15),('Capital investment'!$D$15+'Capital investment'!$J$15-'Capital investment'!$D$11))</f>
        <v>20850000</v>
      </c>
      <c r="EU7" s="6">
        <f>IF(EU6&lt;=5,('Capital investment'!$D$15),('Capital investment'!$D$15+'Capital investment'!$J$15-'Capital investment'!$D$11))</f>
        <v>20850000</v>
      </c>
      <c r="EV7" s="6">
        <f>IF(EV6&lt;=5,('Capital investment'!$D$15),('Capital investment'!$D$15+'Capital investment'!$J$15-'Capital investment'!$D$11))</f>
        <v>20850000</v>
      </c>
      <c r="EW7" s="6">
        <f>IF(EW6&lt;=5,('Capital investment'!$D$15),('Capital investment'!$D$15+'Capital investment'!$J$15-'Capital investment'!$D$11))</f>
        <v>20850000</v>
      </c>
      <c r="EX7" s="6">
        <f>IF(EX6&lt;=5,('Capital investment'!$D$15),('Capital investment'!$D$15+'Capital investment'!$J$15-'Capital investment'!$D$11))</f>
        <v>20850000</v>
      </c>
      <c r="EY7" s="6">
        <f>IF(EY6&lt;=5,('Capital investment'!$D$15),('Capital investment'!$D$15+'Capital investment'!$J$15-'Capital investment'!$D$11))</f>
        <v>20850000</v>
      </c>
      <c r="EZ7" s="6">
        <f>IF(EZ6&lt;=5,('Capital investment'!$D$15),('Capital investment'!$D$15+'Capital investment'!$J$15-'Capital investment'!$D$11))</f>
        <v>20850000</v>
      </c>
      <c r="FA7" s="6">
        <f>IF(FA6&lt;=5,('Capital investment'!$D$15),('Capital investment'!$D$15+'Capital investment'!$J$15-'Capital investment'!$D$11))</f>
        <v>20850000</v>
      </c>
      <c r="FB7" s="6">
        <f>IF(FB6&lt;=5,('Capital investment'!$D$15),('Capital investment'!$D$15+'Capital investment'!$J$15-'Capital investment'!$D$11))</f>
        <v>20850000</v>
      </c>
      <c r="FC7" s="6">
        <f>IF(FC6&lt;=5,('Capital investment'!$D$15),('Capital investment'!$D$15+'Capital investment'!$J$15-'Capital investment'!$D$11))</f>
        <v>20850000</v>
      </c>
      <c r="FD7" s="6">
        <f>IF(FD6&lt;=5,('Capital investment'!$D$15),('Capital investment'!$D$15+'Capital investment'!$J$15-'Capital investment'!$D$11))</f>
        <v>20850000</v>
      </c>
      <c r="FE7" s="6">
        <f>IF(FE6&lt;=5,('Capital investment'!$D$15),('Capital investment'!$D$15+'Capital investment'!$J$15-'Capital investment'!$D$11))</f>
        <v>20850000</v>
      </c>
      <c r="FF7" s="6">
        <f>IF(FF6&lt;=5,('Capital investment'!$D$15),('Capital investment'!$D$15+'Capital investment'!$J$15-'Capital investment'!$D$11))</f>
        <v>20850000</v>
      </c>
      <c r="FG7" s="6">
        <f>IF(FG6&lt;=5,('Capital investment'!$D$15),('Capital investment'!$D$15+'Capital investment'!$J$15-'Capital investment'!$D$11))</f>
        <v>20850000</v>
      </c>
      <c r="FH7" s="6">
        <f>IF(FH6&lt;=5,('Capital investment'!$D$15),('Capital investment'!$D$15+'Capital investment'!$J$15-'Capital investment'!$D$11))</f>
        <v>20850000</v>
      </c>
      <c r="FI7" s="6">
        <f>IF(FI6&lt;=5,('Capital investment'!$D$15),('Capital investment'!$D$15+'Capital investment'!$J$15-'Capital investment'!$D$11))</f>
        <v>20850000</v>
      </c>
      <c r="FJ7" s="6">
        <f>IF(FJ6&lt;=5,('Capital investment'!$D$15),('Capital investment'!$D$15+'Capital investment'!$J$15-'Capital investment'!$D$11))</f>
        <v>20850000</v>
      </c>
      <c r="FK7" s="6">
        <f>IF(FK6&lt;=5,('Capital investment'!$D$15),('Capital investment'!$D$15+'Capital investment'!$J$15-'Capital investment'!$D$11))</f>
        <v>20850000</v>
      </c>
      <c r="FL7" s="6">
        <f>IF(FL6&lt;=5,('Capital investment'!$D$15),('Capital investment'!$D$15+'Capital investment'!$J$15-'Capital investment'!$D$11))</f>
        <v>20850000</v>
      </c>
      <c r="FM7" s="6">
        <f>IF(FM6&lt;=5,('Capital investment'!$D$15),('Capital investment'!$D$15+'Capital investment'!$J$15-'Capital investment'!$D$11))</f>
        <v>20850000</v>
      </c>
      <c r="FN7" s="6">
        <f>IF(FN6&lt;=5,('Capital investment'!$D$15),('Capital investment'!$D$15+'Capital investment'!$J$15-'Capital investment'!$D$11))</f>
        <v>20850000</v>
      </c>
      <c r="FO7" s="6">
        <f>IF(FO6&lt;=5,('Capital investment'!$D$15),('Capital investment'!$D$15+'Capital investment'!$J$15-'Capital investment'!$D$11))</f>
        <v>20850000</v>
      </c>
      <c r="FP7" s="6">
        <f>IF(FP6&lt;=5,('Capital investment'!$D$15),('Capital investment'!$D$15+'Capital investment'!$J$15-'Capital investment'!$D$11))</f>
        <v>20850000</v>
      </c>
      <c r="FQ7" s="6">
        <f>IF(FQ6&lt;=5,('Capital investment'!$D$15),('Capital investment'!$D$15+'Capital investment'!$J$15-'Capital investment'!$D$11))</f>
        <v>20850000</v>
      </c>
      <c r="FR7" s="6">
        <f>IF(FR6&lt;=5,('Capital investment'!$D$15),('Capital investment'!$D$15+'Capital investment'!$J$15-'Capital investment'!$D$11))</f>
        <v>20850000</v>
      </c>
      <c r="FS7" s="6">
        <f>IF(FS6&lt;=5,('Capital investment'!$D$15),('Capital investment'!$D$15+'Capital investment'!$J$15-'Capital investment'!$D$11))</f>
        <v>20850000</v>
      </c>
      <c r="FT7" s="6">
        <f>IF(FT6&lt;=5,('Capital investment'!$D$15),('Capital investment'!$D$15+'Capital investment'!$J$15-'Capital investment'!$D$11))</f>
        <v>20850000</v>
      </c>
      <c r="FU7" s="6">
        <f>IF(FU6&lt;=5,('Capital investment'!$D$15),('Capital investment'!$D$15+'Capital investment'!$J$15-'Capital investment'!$D$11))</f>
        <v>20850000</v>
      </c>
      <c r="FV7" s="6">
        <f>IF(FV6&lt;=5,('Capital investment'!$D$15),('Capital investment'!$D$15+'Capital investment'!$J$15-'Capital investment'!$D$11))</f>
        <v>20850000</v>
      </c>
      <c r="FW7" s="6">
        <f>IF(FW6&lt;=5,('Capital investment'!$D$15),('Capital investment'!$D$15+'Capital investment'!$J$15-'Capital investment'!$D$11))</f>
        <v>20850000</v>
      </c>
      <c r="FX7" s="6">
        <f>IF(FX6&lt;=5,('Capital investment'!$D$15),('Capital investment'!$D$15+'Capital investment'!$J$15-'Capital investment'!$D$11))</f>
        <v>20850000</v>
      </c>
      <c r="FY7" s="6">
        <f>IF(FY6&lt;=5,('Capital investment'!$D$15),('Capital investment'!$D$15+'Capital investment'!$J$15-'Capital investment'!$D$11))</f>
        <v>20850000</v>
      </c>
      <c r="FZ7" s="6">
        <f>IF(FZ6&lt;=5,('Capital investment'!$D$15),('Capital investment'!$D$15+'Capital investment'!$J$15-'Capital investment'!$D$11))</f>
        <v>20850000</v>
      </c>
      <c r="GA7" s="6">
        <f>IF(GA6&lt;=5,('Capital investment'!$D$15),('Capital investment'!$D$15+'Capital investment'!$J$15-'Capital investment'!$D$11))</f>
        <v>20850000</v>
      </c>
      <c r="GB7" s="6">
        <f>IF(GB6&lt;=5,('Capital investment'!$D$15),('Capital investment'!$D$15+'Capital investment'!$J$15-'Capital investment'!$D$11))</f>
        <v>20850000</v>
      </c>
      <c r="GC7" s="6">
        <f>IF(GC6&lt;=5,('Capital investment'!$D$15),('Capital investment'!$D$15+'Capital investment'!$J$15-'Capital investment'!$D$11))</f>
        <v>20850000</v>
      </c>
      <c r="GD7" s="6">
        <f>IF(GD6&lt;=5,('Capital investment'!$D$15),('Capital investment'!$D$15+'Capital investment'!$J$15-'Capital investment'!$D$11))</f>
        <v>20850000</v>
      </c>
      <c r="GE7" s="6">
        <f>IF(GE6&lt;=5,('Capital investment'!$D$15),('Capital investment'!$D$15+'Capital investment'!$J$15-'Capital investment'!$D$11))</f>
        <v>20850000</v>
      </c>
      <c r="GF7" s="6">
        <f>IF(GF6&lt;=5,('Capital investment'!$D$15),('Capital investment'!$D$15+'Capital investment'!$J$15-'Capital investment'!$D$11))</f>
        <v>20850000</v>
      </c>
      <c r="GG7" s="6">
        <f>IF(GG6&lt;=5,('Capital investment'!$D$15),('Capital investment'!$D$15+'Capital investment'!$J$15-'Capital investment'!$D$11))</f>
        <v>20850000</v>
      </c>
      <c r="GH7" s="6">
        <f>IF(GH6&lt;=5,('Capital investment'!$D$15),('Capital investment'!$D$15+'Capital investment'!$J$15-'Capital investment'!$D$11))</f>
        <v>20850000</v>
      </c>
      <c r="GI7" s="6">
        <f>IF(GI6&lt;=5,('Capital investment'!$D$15),('Capital investment'!$D$15+'Capital investment'!$J$15-'Capital investment'!$D$11))</f>
        <v>20850000</v>
      </c>
      <c r="GJ7" s="6">
        <f>IF(GJ6&lt;=5,('Capital investment'!$D$15),('Capital investment'!$D$15+'Capital investment'!$J$15-'Capital investment'!$D$11))</f>
        <v>20850000</v>
      </c>
      <c r="GK7" s="6">
        <f>IF(GK6&lt;=5,('Capital investment'!$D$15),('Capital investment'!$D$15+'Capital investment'!$J$15-'Capital investment'!$D$11))</f>
        <v>20850000</v>
      </c>
      <c r="GL7" s="6">
        <f>IF(GL6&lt;=5,('Capital investment'!$D$15),('Capital investment'!$D$15+'Capital investment'!$J$15-'Capital investment'!$D$11))</f>
        <v>20850000</v>
      </c>
      <c r="GM7" s="6">
        <f>IF(GM6&lt;=5,('Capital investment'!$D$15),('Capital investment'!$D$15+'Capital investment'!$J$15-'Capital investment'!$D$11))</f>
        <v>20850000</v>
      </c>
      <c r="GN7" s="6">
        <f>IF(GN6&lt;=5,('Capital investment'!$D$15),('Capital investment'!$D$15+'Capital investment'!$J$15-'Capital investment'!$D$11))</f>
        <v>20850000</v>
      </c>
      <c r="GO7" s="6">
        <f>IF(GO6&lt;=5,('Capital investment'!$D$15),('Capital investment'!$D$15+'Capital investment'!$J$15-'Capital investment'!$D$11))</f>
        <v>20850000</v>
      </c>
      <c r="GP7" s="6">
        <f>IF(GP6&lt;=5,('Capital investment'!$D$15),('Capital investment'!$D$15+'Capital investment'!$J$15-'Capital investment'!$D$11))</f>
        <v>20850000</v>
      </c>
      <c r="GQ7" s="6">
        <f>IF(GQ6&lt;=5,('Capital investment'!$D$15),('Capital investment'!$D$15+'Capital investment'!$J$15-'Capital investment'!$D$11))</f>
        <v>20850000</v>
      </c>
      <c r="GR7" s="6">
        <f>IF(GR6&lt;=5,('Capital investment'!$D$15),('Capital investment'!$D$15+'Capital investment'!$J$15-'Capital investment'!$D$11))</f>
        <v>20850000</v>
      </c>
      <c r="GS7" s="6">
        <f>IF(GS6&lt;=5,('Capital investment'!$D$15),('Capital investment'!$D$15+'Capital investment'!$J$15-'Capital investment'!$D$11))</f>
        <v>20850000</v>
      </c>
      <c r="GT7" s="6">
        <f>IF(GT6&lt;=5,('Capital investment'!$D$15),('Capital investment'!$D$15+'Capital investment'!$J$15-'Capital investment'!$D$11))</f>
        <v>20850000</v>
      </c>
      <c r="GU7" s="6">
        <f>IF(GU6&lt;=5,('Capital investment'!$D$15),('Capital investment'!$D$15+'Capital investment'!$J$15-'Capital investment'!$D$11))</f>
        <v>20850000</v>
      </c>
      <c r="GV7" s="6">
        <f>IF(GV6&lt;=5,('Capital investment'!$D$15),('Capital investment'!$D$15+'Capital investment'!$J$15-'Capital investment'!$D$11))</f>
        <v>20850000</v>
      </c>
      <c r="GW7" s="6">
        <f>IF(GW6&lt;=5,('Capital investment'!$D$15),('Capital investment'!$D$15+'Capital investment'!$J$15-'Capital investment'!$D$11))</f>
        <v>20850000</v>
      </c>
      <c r="GX7" s="6">
        <f>IF(GX6&lt;=5,('Capital investment'!$D$15),('Capital investment'!$D$15+'Capital investment'!$J$15-'Capital investment'!$D$11))</f>
        <v>20850000</v>
      </c>
      <c r="GY7" s="6">
        <f>IF(GY6&lt;=5,('Capital investment'!$D$15),('Capital investment'!$D$15+'Capital investment'!$J$15-'Capital investment'!$D$11))</f>
        <v>20850000</v>
      </c>
      <c r="GZ7" s="6">
        <f>IF(GZ6&lt;=5,('Capital investment'!$D$15),('Capital investment'!$D$15+'Capital investment'!$J$15-'Capital investment'!$D$11))</f>
        <v>20850000</v>
      </c>
      <c r="HA7" s="6">
        <f>IF(HA6&lt;=5,('Capital investment'!$D$15),('Capital investment'!$D$15+'Capital investment'!$J$15-'Capital investment'!$D$11))</f>
        <v>20850000</v>
      </c>
      <c r="HB7" s="6">
        <f>IF(HB6&lt;=5,('Capital investment'!$D$15),('Capital investment'!$D$15+'Capital investment'!$J$15-'Capital investment'!$D$11))</f>
        <v>20850000</v>
      </c>
      <c r="HC7" s="6">
        <f>IF(HC6&lt;=5,('Capital investment'!$D$15),('Capital investment'!$D$15+'Capital investment'!$J$15-'Capital investment'!$D$11))</f>
        <v>20850000</v>
      </c>
      <c r="HD7" s="6">
        <f>IF(HD6&lt;=5,('Capital investment'!$D$15),('Capital investment'!$D$15+'Capital investment'!$J$15-'Capital investment'!$D$11))</f>
        <v>20850000</v>
      </c>
      <c r="HE7" s="6">
        <f>IF(HE6&lt;=5,('Capital investment'!$D$15),('Capital investment'!$D$15+'Capital investment'!$J$15-'Capital investment'!$D$11))</f>
        <v>20850000</v>
      </c>
      <c r="HF7" s="6">
        <f>IF(HF6&lt;=5,('Capital investment'!$D$15),('Capital investment'!$D$15+'Capital investment'!$J$15-'Capital investment'!$D$11))</f>
        <v>20850000</v>
      </c>
      <c r="HG7" s="6">
        <f>IF(HG6&lt;=5,('Capital investment'!$D$15),('Capital investment'!$D$15+'Capital investment'!$J$15-'Capital investment'!$D$11))</f>
        <v>20850000</v>
      </c>
      <c r="HH7" s="6">
        <f>IF(HH6&lt;=5,('Capital investment'!$D$15),('Capital investment'!$D$15+'Capital investment'!$J$15-'Capital investment'!$D$11))</f>
        <v>20850000</v>
      </c>
      <c r="HI7" s="6">
        <f>IF(HI6&lt;=5,('Capital investment'!$D$15),('Capital investment'!$D$15+'Capital investment'!$J$15-'Capital investment'!$D$11))</f>
        <v>20850000</v>
      </c>
      <c r="HJ7" s="6">
        <f>IF(HJ6&lt;=5,('Capital investment'!$D$15),('Capital investment'!$D$15+'Capital investment'!$J$15-'Capital investment'!$D$11))</f>
        <v>20850000</v>
      </c>
      <c r="HK7" s="6">
        <f>IF(HK6&lt;=5,('Capital investment'!$D$15),('Capital investment'!$D$15+'Capital investment'!$J$15-'Capital investment'!$D$11))</f>
        <v>20850000</v>
      </c>
      <c r="HL7" s="6">
        <f>IF(HL6&lt;=5,('Capital investment'!$D$15),('Capital investment'!$D$15+'Capital investment'!$J$15-'Capital investment'!$D$11))</f>
        <v>20850000</v>
      </c>
      <c r="HM7" s="6">
        <f>IF(HM6&lt;=5,('Capital investment'!$D$15),('Capital investment'!$D$15+'Capital investment'!$J$15-'Capital investment'!$D$11))</f>
        <v>20850000</v>
      </c>
      <c r="HN7" s="6">
        <f>IF(HN6&lt;=5,('Capital investment'!$D$15),('Capital investment'!$D$15+'Capital investment'!$J$15-'Capital investment'!$D$11))</f>
        <v>20850000</v>
      </c>
      <c r="HO7" s="6">
        <f>IF(HO6&lt;=5,('Capital investment'!$D$15),('Capital investment'!$D$15+'Capital investment'!$J$15-'Capital investment'!$D$11))</f>
        <v>20850000</v>
      </c>
      <c r="HP7" s="6">
        <f>IF(HP6&lt;=5,('Capital investment'!$D$15),('Capital investment'!$D$15+'Capital investment'!$J$15-'Capital investment'!$D$11))</f>
        <v>20850000</v>
      </c>
      <c r="HQ7" s="6">
        <f>IF(HQ6&lt;=5,('Capital investment'!$D$15),('Capital investment'!$D$15+'Capital investment'!$J$15-'Capital investment'!$D$11))</f>
        <v>20850000</v>
      </c>
      <c r="HR7" s="6">
        <f>IF(HR6&lt;=5,('Capital investment'!$D$15),('Capital investment'!$D$15+'Capital investment'!$J$15-'Capital investment'!$D$11))</f>
        <v>20850000</v>
      </c>
      <c r="HS7" s="6">
        <f>IF(HS6&lt;=5,('Capital investment'!$D$15),('Capital investment'!$D$15+'Capital investment'!$J$15-'Capital investment'!$D$11))</f>
        <v>20850000</v>
      </c>
      <c r="HT7" s="6">
        <f>IF(HT6&lt;=5,('Capital investment'!$D$15),('Capital investment'!$D$15+'Capital investment'!$J$15-'Capital investment'!$D$11))</f>
        <v>20850000</v>
      </c>
      <c r="HU7" s="6">
        <f>IF(HU6&lt;=5,('Capital investment'!$D$15),('Capital investment'!$D$15+'Capital investment'!$J$15-'Capital investment'!$D$11))</f>
        <v>20850000</v>
      </c>
      <c r="HV7" s="6">
        <f>IF(HV6&lt;=5,('Capital investment'!$D$15),('Capital investment'!$D$15+'Capital investment'!$J$15-'Capital investment'!$D$11))</f>
        <v>20850000</v>
      </c>
      <c r="HW7" s="6">
        <f>IF(HW6&lt;=5,('Capital investment'!$D$15),('Capital investment'!$D$15+'Capital investment'!$J$15-'Capital investment'!$D$11))</f>
        <v>20850000</v>
      </c>
      <c r="HX7" s="6">
        <f>IF(HX6&lt;=5,('Capital investment'!$D$15),('Capital investment'!$D$15+'Capital investment'!$J$15-'Capital investment'!$D$11))</f>
        <v>20850000</v>
      </c>
      <c r="HY7" s="6">
        <f>IF(HY6&lt;=5,('Capital investment'!$D$15),('Capital investment'!$D$15+'Capital investment'!$J$15-'Capital investment'!$D$11))</f>
        <v>20850000</v>
      </c>
      <c r="HZ7" s="6">
        <f>IF(HZ6&lt;=5,('Capital investment'!$D$15),('Capital investment'!$D$15+'Capital investment'!$J$15-'Capital investment'!$D$11))</f>
        <v>20850000</v>
      </c>
      <c r="IA7" s="6">
        <f>IF(IA6&lt;=5,('Capital investment'!$D$15),('Capital investment'!$D$15+'Capital investment'!$J$15-'Capital investment'!$D$11))</f>
        <v>20850000</v>
      </c>
      <c r="IB7" s="6">
        <f>IF(IB6&lt;=5,('Capital investment'!$D$15),('Capital investment'!$D$15+'Capital investment'!$J$15-'Capital investment'!$D$11))</f>
        <v>20850000</v>
      </c>
      <c r="IC7" s="6">
        <f>IF(IC6&lt;=5,('Capital investment'!$D$15),('Capital investment'!$D$15+'Capital investment'!$J$15-'Capital investment'!$D$11))</f>
        <v>20850000</v>
      </c>
      <c r="ID7" s="6">
        <f>IF(ID6&lt;=5,('Capital investment'!$D$15),('Capital investment'!$D$15+'Capital investment'!$J$15-'Capital investment'!$D$11))</f>
        <v>20850000</v>
      </c>
      <c r="IE7" s="6">
        <f>IF(IE6&lt;=5,('Capital investment'!$D$15),('Capital investment'!$D$15+'Capital investment'!$J$15-'Capital investment'!$D$11))</f>
        <v>20850000</v>
      </c>
      <c r="IF7" s="6">
        <f>IF(IF6&lt;=5,('Capital investment'!$D$15),('Capital investment'!$D$15+'Capital investment'!$J$15-'Capital investment'!$D$11))</f>
        <v>20850000</v>
      </c>
      <c r="IG7" s="6">
        <f>IF(IG6&lt;=5,('Capital investment'!$D$15),('Capital investment'!$D$15+'Capital investment'!$J$15-'Capital investment'!$D$11))</f>
        <v>20850000</v>
      </c>
      <c r="IH7" s="6">
        <f>IF(IH6&lt;=5,('Capital investment'!$D$15),('Capital investment'!$D$15+'Capital investment'!$J$15-'Capital investment'!$D$11))</f>
        <v>20850000</v>
      </c>
      <c r="II7" s="6">
        <f>IF(II6&lt;=5,('Capital investment'!$D$15),('Capital investment'!$D$15+'Capital investment'!$J$15-'Capital investment'!$D$11))</f>
        <v>20850000</v>
      </c>
      <c r="IJ7" s="6">
        <f>IF(IJ6&lt;=5,('Capital investment'!$D$15),('Capital investment'!$D$15+'Capital investment'!$J$15-'Capital investment'!$D$11))</f>
        <v>20850000</v>
      </c>
      <c r="IK7" s="6">
        <f>IF(IK6&lt;=5,('Capital investment'!$D$15),('Capital investment'!$D$15+'Capital investment'!$J$15-'Capital investment'!$D$11))</f>
        <v>20850000</v>
      </c>
      <c r="IL7" s="6">
        <f>IF(IL6&lt;=5,('Capital investment'!$D$15),('Capital investment'!$D$15+'Capital investment'!$J$15-'Capital investment'!$D$11))</f>
        <v>20850000</v>
      </c>
      <c r="IM7" s="6">
        <f>IF(IM6&lt;=5,('Capital investment'!$D$15),('Capital investment'!$D$15+'Capital investment'!$J$15-'Capital investment'!$D$11))</f>
        <v>20850000</v>
      </c>
      <c r="IN7" s="6">
        <f>IF(IN6&lt;=5,('Capital investment'!$D$15),('Capital investment'!$D$15+'Capital investment'!$J$15-'Capital investment'!$D$11))</f>
        <v>20850000</v>
      </c>
      <c r="IO7" s="6">
        <f>IF(IO6&lt;=5,('Capital investment'!$D$15),('Capital investment'!$D$15+'Capital investment'!$J$15-'Capital investment'!$D$11))</f>
        <v>20850000</v>
      </c>
      <c r="IP7" s="6">
        <f>IF(IP6&lt;=5,('Capital investment'!$D$15),('Capital investment'!$D$15+'Capital investment'!$J$15-'Capital investment'!$D$11))</f>
        <v>20850000</v>
      </c>
      <c r="IQ7" s="6">
        <f>IF(IQ6&lt;=5,('Capital investment'!$D$15),('Capital investment'!$D$15+'Capital investment'!$J$15-'Capital investment'!$D$11))</f>
        <v>20850000</v>
      </c>
      <c r="IR7" s="6">
        <f>IF(IR6&lt;=5,('Capital investment'!$D$15),('Capital investment'!$D$15+'Capital investment'!$J$15-'Capital investment'!$D$11))</f>
        <v>20850000</v>
      </c>
      <c r="IS7" s="6">
        <f>IF(IS6&lt;=5,('Capital investment'!$D$15),('Capital investment'!$D$15+'Capital investment'!$J$15-'Capital investment'!$D$11))</f>
        <v>20850000</v>
      </c>
      <c r="IT7" s="6">
        <f>IF(IT6&lt;=5,('Capital investment'!$D$15),('Capital investment'!$D$15+'Capital investment'!$J$15-'Capital investment'!$D$11))</f>
        <v>20850000</v>
      </c>
      <c r="IU7" s="6">
        <f>IF(IU6&lt;=5,('Capital investment'!$D$15),('Capital investment'!$D$15+'Capital investment'!$J$15-'Capital investment'!$D$11))</f>
        <v>20850000</v>
      </c>
      <c r="IV7" s="6">
        <f>IF(IV6&lt;=5,('Capital investment'!$D$15),('Capital investment'!$D$15+'Capital investment'!$J$15-'Capital investment'!$D$11))</f>
        <v>20850000</v>
      </c>
    </row>
    <row r="8" spans="2:15" ht="15">
      <c r="B8" s="38" t="s">
        <v>65</v>
      </c>
      <c r="C8" s="38"/>
      <c r="D8" s="38"/>
      <c r="E8" s="38"/>
      <c r="F8" s="38"/>
      <c r="G8" s="38"/>
      <c r="H8" s="38"/>
      <c r="I8" s="38"/>
      <c r="J8" s="38"/>
      <c r="K8" s="38"/>
      <c r="L8" s="38"/>
      <c r="M8" s="38"/>
      <c r="N8" s="38"/>
      <c r="O8" s="38"/>
    </row>
    <row r="9" spans="2:15" ht="15">
      <c r="B9" s="25" t="s">
        <v>67</v>
      </c>
      <c r="C9" s="25"/>
      <c r="D9" s="25"/>
      <c r="E9" s="25"/>
      <c r="F9" s="25">
        <f>'Data input'!$C$21*'Data input'!$C$42</f>
        <v>100000</v>
      </c>
      <c r="G9" s="25">
        <f>'Data input'!$C$21*'Data input'!$C$42</f>
        <v>100000</v>
      </c>
      <c r="H9" s="25">
        <f>'Data input'!$C$21*'Data input'!$C$42</f>
        <v>100000</v>
      </c>
      <c r="I9" s="25">
        <f>'Data input'!$C$21*'Data input'!$C$42</f>
        <v>100000</v>
      </c>
      <c r="J9" s="25">
        <f>'Data input'!$C$21*'Data input'!$C$42</f>
        <v>100000</v>
      </c>
      <c r="K9" s="25">
        <f>'Data input'!$C$21*'Data input'!$C$42</f>
        <v>100000</v>
      </c>
      <c r="L9" s="25">
        <f>'Data input'!$C$21*'Data input'!$C$42</f>
        <v>100000</v>
      </c>
      <c r="M9" s="25">
        <f>'Data input'!$C$21*'Data input'!$C$42</f>
        <v>100000</v>
      </c>
      <c r="N9" s="25">
        <f>'Data input'!$C$21*'Data input'!$C$42</f>
        <v>100000</v>
      </c>
      <c r="O9" s="25">
        <f>'Data input'!$C$21*'Data input'!$C$42</f>
        <v>100000</v>
      </c>
    </row>
    <row r="10" spans="2:15" ht="15">
      <c r="B10" s="25" t="s">
        <v>72</v>
      </c>
      <c r="C10" s="25"/>
      <c r="D10" s="25"/>
      <c r="E10" s="25"/>
      <c r="F10" s="25">
        <f>(('Data input'!$C$16+'Data input'!$C$22+'Data input'!$C$23+'Data input'!$C$24)*'Data input'!$C$40)</f>
        <v>1585000</v>
      </c>
      <c r="G10" s="25">
        <f>(('Data input'!$C$16+'Data input'!$C$22+'Data input'!$C$23+'Data input'!$C$24)*'Data input'!$C$40)</f>
        <v>1585000</v>
      </c>
      <c r="H10" s="25">
        <f>(('Data input'!$C$16+'Data input'!$C$22+'Data input'!$C$23+'Data input'!$C$24)*'Data input'!$C$40)</f>
        <v>1585000</v>
      </c>
      <c r="I10" s="25">
        <f>(('Data input'!$C$16+'Data input'!$C$22+'Data input'!$C$23+'Data input'!$C$24)*'Data input'!$C$40)</f>
        <v>1585000</v>
      </c>
      <c r="J10" s="25">
        <f>(('Data input'!$C$16+'Data input'!$C$22+'Data input'!$C$23+'Data input'!$C$24)*'Data input'!$C$40)</f>
        <v>1585000</v>
      </c>
      <c r="K10" s="25">
        <f>(('Data input'!$C$16+'Data input'!$C$22+'Data input'!$C$23+'Data input'!$C$24)*'Data input'!$C$40)</f>
        <v>1585000</v>
      </c>
      <c r="L10" s="25">
        <f>(('Data input'!$C$16+'Data input'!$C$22+'Data input'!$C$23+'Data input'!$C$24)*'Data input'!$C$40)</f>
        <v>1585000</v>
      </c>
      <c r="M10" s="25">
        <f>(('Data input'!$C$16+'Data input'!$C$22+'Data input'!$C$23+'Data input'!$C$24)*'Data input'!$C$40)</f>
        <v>1585000</v>
      </c>
      <c r="N10" s="25">
        <f>(('Data input'!$C$16+'Data input'!$C$22+'Data input'!$C$23+'Data input'!$C$24)*'Data input'!$C$40)</f>
        <v>1585000</v>
      </c>
      <c r="O10" s="25">
        <f>(('Data input'!$C$16+'Data input'!$C$22+'Data input'!$C$23+'Data input'!$C$24)*'Data input'!$C$40)</f>
        <v>1585000</v>
      </c>
    </row>
    <row r="11" spans="2:16" ht="15">
      <c r="B11" s="25" t="s">
        <v>69</v>
      </c>
      <c r="C11" s="25"/>
      <c r="D11" s="25"/>
      <c r="E11" s="25"/>
      <c r="F11" s="25">
        <f>IF(F6&lt;=5,('Data input'!$C$41*'Capital investment'!$D$11),('Data input'!$C$41*'Capital investment'!$J$11))</f>
        <v>800000</v>
      </c>
      <c r="G11" s="25">
        <f>IF(G6&lt;=5,('Data input'!$C$41*'Capital investment'!$D$11),('Data input'!$C$41*'Capital investment'!$J$11))</f>
        <v>800000</v>
      </c>
      <c r="H11" s="25">
        <f>IF(H6&lt;=5,('Data input'!$C$41*'Capital investment'!$D$11),('Data input'!$C$41*'Capital investment'!$J$11))</f>
        <v>800000</v>
      </c>
      <c r="I11" s="25">
        <f>IF(I6&lt;=5,('Data input'!$C$41*'Capital investment'!$D$11),('Data input'!$C$41*'Capital investment'!$J$11))</f>
        <v>800000</v>
      </c>
      <c r="J11" s="25">
        <f>IF(J6&lt;=5,('Data input'!$C$41*'Capital investment'!$D$11),('Data input'!$C$41*'Capital investment'!$J$11))</f>
        <v>800000</v>
      </c>
      <c r="K11" s="25">
        <f>IF(K6&lt;=5,('Data input'!$C$41*'Capital investment'!$D$11),('Data input'!$C$41*'Capital investment'!$J$11))</f>
        <v>983899.0923398962</v>
      </c>
      <c r="L11" s="25">
        <f>IF(L6&lt;=5,('Data input'!$C$41*'Capital investment'!$D$11),('Data input'!$C$41*'Capital investment'!$J$11))</f>
        <v>983899.0923398962</v>
      </c>
      <c r="M11" s="25">
        <f>IF(M6&lt;=5,('Data input'!$C$41*'Capital investment'!$D$11),('Data input'!$C$41*'Capital investment'!$J$11))</f>
        <v>983899.0923398962</v>
      </c>
      <c r="N11" s="25">
        <f>IF(N6&lt;=5,('Data input'!$C$41*'Capital investment'!$D$11),('Data input'!$C$41*'Capital investment'!$J$11))</f>
        <v>983899.0923398962</v>
      </c>
      <c r="O11" s="25">
        <f>IF(O6&lt;=5,('Data input'!$C$41*'Capital investment'!$D$11),('Data input'!$C$41*'Capital investment'!$J$11))</f>
        <v>983899.0923398962</v>
      </c>
      <c r="P11" s="25"/>
    </row>
    <row r="12" spans="2:15" ht="15">
      <c r="B12" s="37" t="s">
        <v>73</v>
      </c>
      <c r="C12" s="37"/>
      <c r="D12" s="37"/>
      <c r="E12" s="37"/>
      <c r="F12" s="37">
        <f aca="true" t="shared" si="0" ref="F12:O12">SUM(F9:F11)</f>
        <v>2485000</v>
      </c>
      <c r="G12" s="37">
        <f t="shared" si="0"/>
        <v>2485000</v>
      </c>
      <c r="H12" s="37">
        <f t="shared" si="0"/>
        <v>2485000</v>
      </c>
      <c r="I12" s="37">
        <f t="shared" si="0"/>
        <v>2485000</v>
      </c>
      <c r="J12" s="37">
        <f t="shared" si="0"/>
        <v>2485000</v>
      </c>
      <c r="K12" s="37">
        <f t="shared" si="0"/>
        <v>2668899.092339896</v>
      </c>
      <c r="L12" s="37">
        <f t="shared" si="0"/>
        <v>2668899.092339896</v>
      </c>
      <c r="M12" s="37">
        <f t="shared" si="0"/>
        <v>2668899.092339896</v>
      </c>
      <c r="N12" s="37">
        <f t="shared" si="0"/>
        <v>2668899.092339896</v>
      </c>
      <c r="O12" s="37">
        <f t="shared" si="0"/>
        <v>2668899.092339896</v>
      </c>
    </row>
    <row r="13" spans="2:256" ht="15">
      <c r="B13" s="25" t="s">
        <v>127</v>
      </c>
      <c r="F13" s="36">
        <f>IF(F6=6,(F12+E13-'Capital investment'!$D$11),(F12+E13))</f>
        <v>2485000</v>
      </c>
      <c r="G13" s="36">
        <f>IF(G6=6,(G12+F13-'Capital investment'!$D$11),(G12+F13))</f>
        <v>4970000</v>
      </c>
      <c r="H13" s="36">
        <f>IF(H6=6,(H12+G13-'Capital investment'!$D$11),(H12+G13))</f>
        <v>7455000</v>
      </c>
      <c r="I13" s="36">
        <f>IF(I6=6,(I12+H13-'Capital investment'!$D$11),(I12+H13))</f>
        <v>9940000</v>
      </c>
      <c r="J13" s="36">
        <f>IF(J6=6,(J12+I13-'Capital investment'!$D$11),(J12+I13))</f>
        <v>12425000</v>
      </c>
      <c r="K13" s="36">
        <f>IF(K6=6,(K12+J13-'Capital investment'!$D$11),(K12+J13))</f>
        <v>11093899.092339896</v>
      </c>
      <c r="L13" s="36">
        <f>IF(L6=6,(L12+K13-'Capital investment'!$D$11),(L12+K13))</f>
        <v>13762798.184679791</v>
      </c>
      <c r="M13" s="36">
        <f>IF(M6=6,(M12+L13-'Capital investment'!$D$11),(M12+L13))</f>
        <v>16431697.277019687</v>
      </c>
      <c r="N13" s="36">
        <f>IF(N6=6,(N12+M13-'Capital investment'!$D$11),(N12+M13))</f>
        <v>19100596.369359583</v>
      </c>
      <c r="O13" s="36">
        <f>IF(O6=6,(O12+N13-'Capital investment'!$D$11),(O12+N13))</f>
        <v>21769495.46169948</v>
      </c>
      <c r="P13" s="36">
        <f>IF(P6=6,(P12+O13-'Capital investment'!$D$11),(P12+13))</f>
        <v>13</v>
      </c>
      <c r="Q13" s="36">
        <f>IF(Q6=6,(Q12+P13-'Capital investment'!$D$11),(Q12+13))</f>
        <v>13</v>
      </c>
      <c r="R13" s="36">
        <f>IF(R6=6,(R12+Q13-'Capital investment'!$D$11),(R12+13))</f>
        <v>13</v>
      </c>
      <c r="S13" s="36">
        <f>IF(S6=6,(S12+R13-'Capital investment'!$D$11),(S12+13))</f>
        <v>13</v>
      </c>
      <c r="T13" s="36">
        <f>IF(T6=6,(T12+S13-'Capital investment'!$D$11),(T12+13))</f>
        <v>13</v>
      </c>
      <c r="U13" s="36">
        <f>IF(U6=6,(U12+T13-'Capital investment'!$D$11),(U12+13))</f>
        <v>13</v>
      </c>
      <c r="V13" s="36">
        <f>IF(V6=6,(V12+U13-'Capital investment'!$D$11),(V12+13))</f>
        <v>13</v>
      </c>
      <c r="W13" s="36">
        <f>IF(W6=6,(W12+V13-'Capital investment'!$D$11),(W12+13))</f>
        <v>13</v>
      </c>
      <c r="X13" s="36">
        <f>IF(X6=6,(X12+W13-'Capital investment'!$D$11),(X12+13))</f>
        <v>13</v>
      </c>
      <c r="Y13" s="36">
        <f>IF(Y6=6,(Y12+X13-'Capital investment'!$D$11),(Y12+13))</f>
        <v>13</v>
      </c>
      <c r="Z13" s="36">
        <f>IF(Z6=6,(Z12+Y13-'Capital investment'!$D$11),(Z12+13))</f>
        <v>13</v>
      </c>
      <c r="AA13" s="36">
        <f>IF(AA6=6,(AA12+Z13-'Capital investment'!$D$11),(AA12+13))</f>
        <v>13</v>
      </c>
      <c r="AB13" s="36">
        <f>IF(AB6=6,(AB12+AA13-'Capital investment'!$D$11),(AB12+13))</f>
        <v>13</v>
      </c>
      <c r="AC13" s="36">
        <f>IF(AC6=6,(AC12+AB13-'Capital investment'!$D$11),(AC12+13))</f>
        <v>13</v>
      </c>
      <c r="AD13" s="36">
        <f>IF(AD6=6,(AD12+AC13-'Capital investment'!$D$11),(AD12+13))</f>
        <v>13</v>
      </c>
      <c r="AE13" s="36">
        <f>IF(AE6=6,(AE12+AD13-'Capital investment'!$D$11),(AE12+13))</f>
        <v>13</v>
      </c>
      <c r="AF13" s="36">
        <f>IF(AF6=6,(AF12+AE13-'Capital investment'!$D$11),(AF12+13))</f>
        <v>13</v>
      </c>
      <c r="AG13" s="36">
        <f>IF(AG6=6,(AG12+AF13-'Capital investment'!$D$11),(AG12+13))</f>
        <v>13</v>
      </c>
      <c r="AH13" s="36">
        <f>IF(AH6=6,(AH12+AG13-'Capital investment'!$D$11),(AH12+13))</f>
        <v>13</v>
      </c>
      <c r="AI13" s="36">
        <f>IF(AI6=6,(AI12+AH13-'Capital investment'!$D$11),(AI12+13))</f>
        <v>13</v>
      </c>
      <c r="AJ13" s="36">
        <f>IF(AJ6=6,(AJ12+AI13-'Capital investment'!$D$11),(AJ12+13))</f>
        <v>13</v>
      </c>
      <c r="AK13" s="36">
        <f>IF(AK6=6,(AK12+AJ13-'Capital investment'!$D$11),(AK12+13))</f>
        <v>13</v>
      </c>
      <c r="AL13" s="36">
        <f>IF(AL6=6,(AL12+AK13-'Capital investment'!$D$11),(AL12+13))</f>
        <v>13</v>
      </c>
      <c r="AM13" s="36">
        <f>IF(AM6=6,(AM12+AL13-'Capital investment'!$D$11),(AM12+13))</f>
        <v>13</v>
      </c>
      <c r="AN13" s="36">
        <f>IF(AN6=6,(AN12+AM13-'Capital investment'!$D$11),(AN12+13))</f>
        <v>13</v>
      </c>
      <c r="AO13" s="36">
        <f>IF(AO6=6,(AO12+AN13-'Capital investment'!$D$11),(AO12+13))</f>
        <v>13</v>
      </c>
      <c r="AP13" s="36">
        <f>IF(AP6=6,(AP12+AO13-'Capital investment'!$D$11),(AP12+13))</f>
        <v>13</v>
      </c>
      <c r="AQ13" s="36">
        <f>IF(AQ6=6,(AQ12+AP13-'Capital investment'!$D$11),(AQ12+13))</f>
        <v>13</v>
      </c>
      <c r="AR13" s="36">
        <f>IF(AR6=6,(AR12+AQ13-'Capital investment'!$D$11),(AR12+13))</f>
        <v>13</v>
      </c>
      <c r="AS13" s="36">
        <f>IF(AS6=6,(AS12+AR13-'Capital investment'!$D$11),(AS12+13))</f>
        <v>13</v>
      </c>
      <c r="AT13" s="36">
        <f>IF(AT6=6,(AT12+AS13-'Capital investment'!$D$11),(AT12+13))</f>
        <v>13</v>
      </c>
      <c r="AU13" s="36">
        <f>IF(AU6=6,(AU12+AT13-'Capital investment'!$D$11),(AU12+13))</f>
        <v>13</v>
      </c>
      <c r="AV13" s="36">
        <f>IF(AV6=6,(AV12+AU13-'Capital investment'!$D$11),(AV12+13))</f>
        <v>13</v>
      </c>
      <c r="AW13" s="36">
        <f>IF(AW6=6,(AW12+AV13-'Capital investment'!$D$11),(AW12+13))</f>
        <v>13</v>
      </c>
      <c r="AX13" s="36">
        <f>IF(AX6=6,(AX12+AW13-'Capital investment'!$D$11),(AX12+13))</f>
        <v>13</v>
      </c>
      <c r="AY13" s="36">
        <f>IF(AY6=6,(AY12+AX13-'Capital investment'!$D$11),(AY12+13))</f>
        <v>13</v>
      </c>
      <c r="AZ13" s="36">
        <f>IF(AZ6=6,(AZ12+AY13-'Capital investment'!$D$11),(AZ12+13))</f>
        <v>13</v>
      </c>
      <c r="BA13" s="36">
        <f>IF(BA6=6,(BA12+AZ13-'Capital investment'!$D$11),(BA12+13))</f>
        <v>13</v>
      </c>
      <c r="BB13" s="36">
        <f>IF(BB6=6,(BB12+BA13-'Capital investment'!$D$11),(BB12+13))</f>
        <v>13</v>
      </c>
      <c r="BC13" s="36">
        <f>IF(BC6=6,(BC12+BB13-'Capital investment'!$D$11),(BC12+13))</f>
        <v>13</v>
      </c>
      <c r="BD13" s="36">
        <f>IF(BD6=6,(BD12+BC13-'Capital investment'!$D$11),(BD12+13))</f>
        <v>13</v>
      </c>
      <c r="BE13" s="36">
        <f>IF(BE6=6,(BE12+BD13-'Capital investment'!$D$11),(BE12+13))</f>
        <v>13</v>
      </c>
      <c r="BF13" s="36">
        <f>IF(BF6=6,(BF12+BE13-'Capital investment'!$D$11),(BF12+13))</f>
        <v>13</v>
      </c>
      <c r="BG13" s="36">
        <f>IF(BG6=6,(BG12+BF13-'Capital investment'!$D$11),(BG12+13))</f>
        <v>13</v>
      </c>
      <c r="BH13" s="36">
        <f>IF(BH6=6,(BH12+BG13-'Capital investment'!$D$11),(BH12+13))</f>
        <v>13</v>
      </c>
      <c r="BI13" s="36">
        <f>IF(BI6=6,(BI12+BH13-'Capital investment'!$D$11),(BI12+13))</f>
        <v>13</v>
      </c>
      <c r="BJ13" s="36">
        <f>IF(BJ6=6,(BJ12+BI13-'Capital investment'!$D$11),(BJ12+13))</f>
        <v>13</v>
      </c>
      <c r="BK13" s="36">
        <f>IF(BK6=6,(BK12+BJ13-'Capital investment'!$D$11),(BK12+13))</f>
        <v>13</v>
      </c>
      <c r="BL13" s="36">
        <f>IF(BL6=6,(BL12+BK13-'Capital investment'!$D$11),(BL12+13))</f>
        <v>13</v>
      </c>
      <c r="BM13" s="36">
        <f>IF(BM6=6,(BM12+BL13-'Capital investment'!$D$11),(BM12+13))</f>
        <v>13</v>
      </c>
      <c r="BN13" s="36">
        <f>IF(BN6=6,(BN12+BM13-'Capital investment'!$D$11),(BN12+13))</f>
        <v>13</v>
      </c>
      <c r="BO13" s="36">
        <f>IF(BO6=6,(BO12+BN13-'Capital investment'!$D$11),(BO12+13))</f>
        <v>13</v>
      </c>
      <c r="BP13" s="36">
        <f>IF(BP6=6,(BP12+BO13-'Capital investment'!$D$11),(BP12+13))</f>
        <v>13</v>
      </c>
      <c r="BQ13" s="36">
        <f>IF(BQ6=6,(BQ12+BP13-'Capital investment'!$D$11),(BQ12+13))</f>
        <v>13</v>
      </c>
      <c r="BR13" s="36">
        <f>IF(BR6=6,(BR12+BQ13-'Capital investment'!$D$11),(BR12+13))</f>
        <v>13</v>
      </c>
      <c r="BS13" s="36">
        <f>IF(BS6=6,(BS12+BR13-'Capital investment'!$D$11),(BS12+13))</f>
        <v>13</v>
      </c>
      <c r="BT13" s="36">
        <f>IF(BT6=6,(BT12+BS13-'Capital investment'!$D$11),(BT12+13))</f>
        <v>13</v>
      </c>
      <c r="BU13" s="36">
        <f>IF(BU6=6,(BU12+BT13-'Capital investment'!$D$11),(BU12+13))</f>
        <v>13</v>
      </c>
      <c r="BV13" s="36">
        <f>IF(BV6=6,(BV12+BU13-'Capital investment'!$D$11),(BV12+13))</f>
        <v>13</v>
      </c>
      <c r="BW13" s="36">
        <f>IF(BW6=6,(BW12+BV13-'Capital investment'!$D$11),(BW12+13))</f>
        <v>13</v>
      </c>
      <c r="BX13" s="36">
        <f>IF(BX6=6,(BX12+BW13-'Capital investment'!$D$11),(BX12+13))</f>
        <v>13</v>
      </c>
      <c r="BY13" s="36">
        <f>IF(BY6=6,(BY12+BX13-'Capital investment'!$D$11),(BY12+13))</f>
        <v>13</v>
      </c>
      <c r="BZ13" s="36">
        <f>IF(BZ6=6,(BZ12+BY13-'Capital investment'!$D$11),(BZ12+13))</f>
        <v>13</v>
      </c>
      <c r="CA13" s="36">
        <f>IF(CA6=6,(CA12+BZ13-'Capital investment'!$D$11),(CA12+13))</f>
        <v>13</v>
      </c>
      <c r="CB13" s="36">
        <f>IF(CB6=6,(CB12+CA13-'Capital investment'!$D$11),(CB12+13))</f>
        <v>13</v>
      </c>
      <c r="CC13" s="36">
        <f>IF(CC6=6,(CC12+CB13-'Capital investment'!$D$11),(CC12+13))</f>
        <v>13</v>
      </c>
      <c r="CD13" s="36">
        <f>IF(CD6=6,(CD12+CC13-'Capital investment'!$D$11),(CD12+13))</f>
        <v>13</v>
      </c>
      <c r="CE13" s="36">
        <f>IF(CE6=6,(CE12+CD13-'Capital investment'!$D$11),(CE12+13))</f>
        <v>13</v>
      </c>
      <c r="CF13" s="36">
        <f>IF(CF6=6,(CF12+CE13-'Capital investment'!$D$11),(CF12+13))</f>
        <v>13</v>
      </c>
      <c r="CG13" s="36">
        <f>IF(CG6=6,(CG12+CF13-'Capital investment'!$D$11),(CG12+13))</f>
        <v>13</v>
      </c>
      <c r="CH13" s="36">
        <f>IF(CH6=6,(CH12+CG13-'Capital investment'!$D$11),(CH12+13))</f>
        <v>13</v>
      </c>
      <c r="CI13" s="36">
        <f>IF(CI6=6,(CI12+CH13-'Capital investment'!$D$11),(CI12+13))</f>
        <v>13</v>
      </c>
      <c r="CJ13" s="36">
        <f>IF(CJ6=6,(CJ12+CI13-'Capital investment'!$D$11),(CJ12+13))</f>
        <v>13</v>
      </c>
      <c r="CK13" s="36">
        <f>IF(CK6=6,(CK12+CJ13-'Capital investment'!$D$11),(CK12+13))</f>
        <v>13</v>
      </c>
      <c r="CL13" s="36">
        <f>IF(CL6=6,(CL12+CK13-'Capital investment'!$D$11),(CL12+13))</f>
        <v>13</v>
      </c>
      <c r="CM13" s="36">
        <f>IF(CM6=6,(CM12+CL13-'Capital investment'!$D$11),(CM12+13))</f>
        <v>13</v>
      </c>
      <c r="CN13" s="36">
        <f>IF(CN6=6,(CN12+CM13-'Capital investment'!$D$11),(CN12+13))</f>
        <v>13</v>
      </c>
      <c r="CO13" s="36">
        <f>IF(CO6=6,(CO12+CN13-'Capital investment'!$D$11),(CO12+13))</f>
        <v>13</v>
      </c>
      <c r="CP13" s="36">
        <f>IF(CP6=6,(CP12+CO13-'Capital investment'!$D$11),(CP12+13))</f>
        <v>13</v>
      </c>
      <c r="CQ13" s="36">
        <f>IF(CQ6=6,(CQ12+CP13-'Capital investment'!$D$11),(CQ12+13))</f>
        <v>13</v>
      </c>
      <c r="CR13" s="36">
        <f>IF(CR6=6,(CR12+CQ13-'Capital investment'!$D$11),(CR12+13))</f>
        <v>13</v>
      </c>
      <c r="CS13" s="36">
        <f>IF(CS6=6,(CS12+CR13-'Capital investment'!$D$11),(CS12+13))</f>
        <v>13</v>
      </c>
      <c r="CT13" s="36">
        <f>IF(CT6=6,(CT12+CS13-'Capital investment'!$D$11),(CT12+13))</f>
        <v>13</v>
      </c>
      <c r="CU13" s="36">
        <f>IF(CU6=6,(CU12+CT13-'Capital investment'!$D$11),(CU12+13))</f>
        <v>13</v>
      </c>
      <c r="CV13" s="36">
        <f>IF(CV6=6,(CV12+CU13-'Capital investment'!$D$11),(CV12+13))</f>
        <v>13</v>
      </c>
      <c r="CW13" s="36">
        <f>IF(CW6=6,(CW12+CV13-'Capital investment'!$D$11),(CW12+13))</f>
        <v>13</v>
      </c>
      <c r="CX13" s="36">
        <f>IF(CX6=6,(CX12+CW13-'Capital investment'!$D$11),(CX12+13))</f>
        <v>13</v>
      </c>
      <c r="CY13" s="36">
        <f>IF(CY6=6,(CY12+CX13-'Capital investment'!$D$11),(CY12+13))</f>
        <v>13</v>
      </c>
      <c r="CZ13" s="36">
        <f>IF(CZ6=6,(CZ12+CY13-'Capital investment'!$D$11),(CZ12+13))</f>
        <v>13</v>
      </c>
      <c r="DA13" s="36">
        <f>IF(DA6=6,(DA12+CZ13-'Capital investment'!$D$11),(DA12+13))</f>
        <v>13</v>
      </c>
      <c r="DB13" s="36">
        <f>IF(DB6=6,(DB12+DA13-'Capital investment'!$D$11),(DB12+13))</f>
        <v>13</v>
      </c>
      <c r="DC13" s="36">
        <f>IF(DC6=6,(DC12+DB13-'Capital investment'!$D$11),(DC12+13))</f>
        <v>13</v>
      </c>
      <c r="DD13" s="36">
        <f>IF(DD6=6,(DD12+DC13-'Capital investment'!$D$11),(DD12+13))</f>
        <v>13</v>
      </c>
      <c r="DE13" s="36">
        <f>IF(DE6=6,(DE12+DD13-'Capital investment'!$D$11),(DE12+13))</f>
        <v>13</v>
      </c>
      <c r="DF13" s="36">
        <f>IF(DF6=6,(DF12+DE13-'Capital investment'!$D$11),(DF12+13))</f>
        <v>13</v>
      </c>
      <c r="DG13" s="36">
        <f>IF(DG6=6,(DG12+DF13-'Capital investment'!$D$11),(DG12+13))</f>
        <v>13</v>
      </c>
      <c r="DH13" s="36">
        <f>IF(DH6=6,(DH12+DG13-'Capital investment'!$D$11),(DH12+13))</f>
        <v>13</v>
      </c>
      <c r="DI13" s="36">
        <f>IF(DI6=6,(DI12+DH13-'Capital investment'!$D$11),(DI12+13))</f>
        <v>13</v>
      </c>
      <c r="DJ13" s="36">
        <f>IF(DJ6=6,(DJ12+DI13-'Capital investment'!$D$11),(DJ12+13))</f>
        <v>13</v>
      </c>
      <c r="DK13" s="36">
        <f>IF(DK6=6,(DK12+DJ13-'Capital investment'!$D$11),(DK12+13))</f>
        <v>13</v>
      </c>
      <c r="DL13" s="36">
        <f>IF(DL6=6,(DL12+DK13-'Capital investment'!$D$11),(DL12+13))</f>
        <v>13</v>
      </c>
      <c r="DM13" s="36">
        <f>IF(DM6=6,(DM12+DL13-'Capital investment'!$D$11),(DM12+13))</f>
        <v>13</v>
      </c>
      <c r="DN13" s="36">
        <f>IF(DN6=6,(DN12+DM13-'Capital investment'!$D$11),(DN12+13))</f>
        <v>13</v>
      </c>
      <c r="DO13" s="36">
        <f>IF(DO6=6,(DO12+DN13-'Capital investment'!$D$11),(DO12+13))</f>
        <v>13</v>
      </c>
      <c r="DP13" s="36">
        <f>IF(DP6=6,(DP12+DO13-'Capital investment'!$D$11),(DP12+13))</f>
        <v>13</v>
      </c>
      <c r="DQ13" s="36">
        <f>IF(DQ6=6,(DQ12+DP13-'Capital investment'!$D$11),(DQ12+13))</f>
        <v>13</v>
      </c>
      <c r="DR13" s="36">
        <f>IF(DR6=6,(DR12+DQ13-'Capital investment'!$D$11),(DR12+13))</f>
        <v>13</v>
      </c>
      <c r="DS13" s="36">
        <f>IF(DS6=6,(DS12+DR13-'Capital investment'!$D$11),(DS12+13))</f>
        <v>13</v>
      </c>
      <c r="DT13" s="36">
        <f>IF(DT6=6,(DT12+DS13-'Capital investment'!$D$11),(DT12+13))</f>
        <v>13</v>
      </c>
      <c r="DU13" s="36">
        <f>IF(DU6=6,(DU12+DT13-'Capital investment'!$D$11),(DU12+13))</f>
        <v>13</v>
      </c>
      <c r="DV13" s="36">
        <f>IF(DV6=6,(DV12+DU13-'Capital investment'!$D$11),(DV12+13))</f>
        <v>13</v>
      </c>
      <c r="DW13" s="36">
        <f>IF(DW6=6,(DW12+DV13-'Capital investment'!$D$11),(DW12+13))</f>
        <v>13</v>
      </c>
      <c r="DX13" s="36">
        <f>IF(DX6=6,(DX12+DW13-'Capital investment'!$D$11),(DX12+13))</f>
        <v>13</v>
      </c>
      <c r="DY13" s="36">
        <f>IF(DY6=6,(DY12+DX13-'Capital investment'!$D$11),(DY12+13))</f>
        <v>13</v>
      </c>
      <c r="DZ13" s="36">
        <f>IF(DZ6=6,(DZ12+DY13-'Capital investment'!$D$11),(DZ12+13))</f>
        <v>13</v>
      </c>
      <c r="EA13" s="36">
        <f>IF(EA6=6,(EA12+DZ13-'Capital investment'!$D$11),(EA12+13))</f>
        <v>13</v>
      </c>
      <c r="EB13" s="36">
        <f>IF(EB6=6,(EB12+EA13-'Capital investment'!$D$11),(EB12+13))</f>
        <v>13</v>
      </c>
      <c r="EC13" s="36">
        <f>IF(EC6=6,(EC12+EB13-'Capital investment'!$D$11),(EC12+13))</f>
        <v>13</v>
      </c>
      <c r="ED13" s="36">
        <f>IF(ED6=6,(ED12+EC13-'Capital investment'!$D$11),(ED12+13))</f>
        <v>13</v>
      </c>
      <c r="EE13" s="36">
        <f>IF(EE6=6,(EE12+ED13-'Capital investment'!$D$11),(EE12+13))</f>
        <v>13</v>
      </c>
      <c r="EF13" s="36">
        <f>IF(EF6=6,(EF12+EE13-'Capital investment'!$D$11),(EF12+13))</f>
        <v>13</v>
      </c>
      <c r="EG13" s="36">
        <f>IF(EG6=6,(EG12+EF13-'Capital investment'!$D$11),(EG12+13))</f>
        <v>13</v>
      </c>
      <c r="EH13" s="36">
        <f>IF(EH6=6,(EH12+EG13-'Capital investment'!$D$11),(EH12+13))</f>
        <v>13</v>
      </c>
      <c r="EI13" s="36">
        <f>IF(EI6=6,(EI12+EH13-'Capital investment'!$D$11),(EI12+13))</f>
        <v>13</v>
      </c>
      <c r="EJ13" s="36">
        <f>IF(EJ6=6,(EJ12+EI13-'Capital investment'!$D$11),(EJ12+13))</f>
        <v>13</v>
      </c>
      <c r="EK13" s="36">
        <f>IF(EK6=6,(EK12+EJ13-'Capital investment'!$D$11),(EK12+13))</f>
        <v>13</v>
      </c>
      <c r="EL13" s="36">
        <f>IF(EL6=6,(EL12+EK13-'Capital investment'!$D$11),(EL12+13))</f>
        <v>13</v>
      </c>
      <c r="EM13" s="36">
        <f>IF(EM6=6,(EM12+EL13-'Capital investment'!$D$11),(EM12+13))</f>
        <v>13</v>
      </c>
      <c r="EN13" s="36">
        <f>IF(EN6=6,(EN12+EM13-'Capital investment'!$D$11),(EN12+13))</f>
        <v>13</v>
      </c>
      <c r="EO13" s="36">
        <f>IF(EO6=6,(EO12+EN13-'Capital investment'!$D$11),(EO12+13))</f>
        <v>13</v>
      </c>
      <c r="EP13" s="36">
        <f>IF(EP6=6,(EP12+EO13-'Capital investment'!$D$11),(EP12+13))</f>
        <v>13</v>
      </c>
      <c r="EQ13" s="36">
        <f>IF(EQ6=6,(EQ12+EP13-'Capital investment'!$D$11),(EQ12+13))</f>
        <v>13</v>
      </c>
      <c r="ER13" s="36">
        <f>IF(ER6=6,(ER12+EQ13-'Capital investment'!$D$11),(ER12+13))</f>
        <v>13</v>
      </c>
      <c r="ES13" s="36">
        <f>IF(ES6=6,(ES12+ER13-'Capital investment'!$D$11),(ES12+13))</f>
        <v>13</v>
      </c>
      <c r="ET13" s="36">
        <f>IF(ET6=6,(ET12+ES13-'Capital investment'!$D$11),(ET12+13))</f>
        <v>13</v>
      </c>
      <c r="EU13" s="36">
        <f>IF(EU6=6,(EU12+ET13-'Capital investment'!$D$11),(EU12+13))</f>
        <v>13</v>
      </c>
      <c r="EV13" s="36">
        <f>IF(EV6=6,(EV12+EU13-'Capital investment'!$D$11),(EV12+13))</f>
        <v>13</v>
      </c>
      <c r="EW13" s="36">
        <f>IF(EW6=6,(EW12+EV13-'Capital investment'!$D$11),(EW12+13))</f>
        <v>13</v>
      </c>
      <c r="EX13" s="36">
        <f>IF(EX6=6,(EX12+EW13-'Capital investment'!$D$11),(EX12+13))</f>
        <v>13</v>
      </c>
      <c r="EY13" s="36">
        <f>IF(EY6=6,(EY12+EX13-'Capital investment'!$D$11),(EY12+13))</f>
        <v>13</v>
      </c>
      <c r="EZ13" s="36">
        <f>IF(EZ6=6,(EZ12+EY13-'Capital investment'!$D$11),(EZ12+13))</f>
        <v>13</v>
      </c>
      <c r="FA13" s="36">
        <f>IF(FA6=6,(FA12+EZ13-'Capital investment'!$D$11),(FA12+13))</f>
        <v>13</v>
      </c>
      <c r="FB13" s="36">
        <f>IF(FB6=6,(FB12+FA13-'Capital investment'!$D$11),(FB12+13))</f>
        <v>13</v>
      </c>
      <c r="FC13" s="36">
        <f>IF(FC6=6,(FC12+FB13-'Capital investment'!$D$11),(FC12+13))</f>
        <v>13</v>
      </c>
      <c r="FD13" s="36">
        <f>IF(FD6=6,(FD12+FC13-'Capital investment'!$D$11),(FD12+13))</f>
        <v>13</v>
      </c>
      <c r="FE13" s="36">
        <f>IF(FE6=6,(FE12+FD13-'Capital investment'!$D$11),(FE12+13))</f>
        <v>13</v>
      </c>
      <c r="FF13" s="36">
        <f>IF(FF6=6,(FF12+FE13-'Capital investment'!$D$11),(FF12+13))</f>
        <v>13</v>
      </c>
      <c r="FG13" s="36">
        <f>IF(FG6=6,(FG12+FF13-'Capital investment'!$D$11),(FG12+13))</f>
        <v>13</v>
      </c>
      <c r="FH13" s="36">
        <f>IF(FH6=6,(FH12+FG13-'Capital investment'!$D$11),(FH12+13))</f>
        <v>13</v>
      </c>
      <c r="FI13" s="36">
        <f>IF(FI6=6,(FI12+FH13-'Capital investment'!$D$11),(FI12+13))</f>
        <v>13</v>
      </c>
      <c r="FJ13" s="36">
        <f>IF(FJ6=6,(FJ12+FI13-'Capital investment'!$D$11),(FJ12+13))</f>
        <v>13</v>
      </c>
      <c r="FK13" s="36">
        <f>IF(FK6=6,(FK12+FJ13-'Capital investment'!$D$11),(FK12+13))</f>
        <v>13</v>
      </c>
      <c r="FL13" s="36">
        <f>IF(FL6=6,(FL12+FK13-'Capital investment'!$D$11),(FL12+13))</f>
        <v>13</v>
      </c>
      <c r="FM13" s="36">
        <f>IF(FM6=6,(FM12+FL13-'Capital investment'!$D$11),(FM12+13))</f>
        <v>13</v>
      </c>
      <c r="FN13" s="36">
        <f>IF(FN6=6,(FN12+FM13-'Capital investment'!$D$11),(FN12+13))</f>
        <v>13</v>
      </c>
      <c r="FO13" s="36">
        <f>IF(FO6=6,(FO12+FN13-'Capital investment'!$D$11),(FO12+13))</f>
        <v>13</v>
      </c>
      <c r="FP13" s="36">
        <f>IF(FP6=6,(FP12+FO13-'Capital investment'!$D$11),(FP12+13))</f>
        <v>13</v>
      </c>
      <c r="FQ13" s="36">
        <f>IF(FQ6=6,(FQ12+FP13-'Capital investment'!$D$11),(FQ12+13))</f>
        <v>13</v>
      </c>
      <c r="FR13" s="36">
        <f>IF(FR6=6,(FR12+FQ13-'Capital investment'!$D$11),(FR12+13))</f>
        <v>13</v>
      </c>
      <c r="FS13" s="36">
        <f>IF(FS6=6,(FS12+FR13-'Capital investment'!$D$11),(FS12+13))</f>
        <v>13</v>
      </c>
      <c r="FT13" s="36">
        <f>IF(FT6=6,(FT12+FS13-'Capital investment'!$D$11),(FT12+13))</f>
        <v>13</v>
      </c>
      <c r="FU13" s="36">
        <f>IF(FU6=6,(FU12+FT13-'Capital investment'!$D$11),(FU12+13))</f>
        <v>13</v>
      </c>
      <c r="FV13" s="36">
        <f>IF(FV6=6,(FV12+FU13-'Capital investment'!$D$11),(FV12+13))</f>
        <v>13</v>
      </c>
      <c r="FW13" s="36">
        <f>IF(FW6=6,(FW12+FV13-'Capital investment'!$D$11),(FW12+13))</f>
        <v>13</v>
      </c>
      <c r="FX13" s="36">
        <f>IF(FX6=6,(FX12+FW13-'Capital investment'!$D$11),(FX12+13))</f>
        <v>13</v>
      </c>
      <c r="FY13" s="36">
        <f>IF(FY6=6,(FY12+FX13-'Capital investment'!$D$11),(FY12+13))</f>
        <v>13</v>
      </c>
      <c r="FZ13" s="36">
        <f>IF(FZ6=6,(FZ12+FY13-'Capital investment'!$D$11),(FZ12+13))</f>
        <v>13</v>
      </c>
      <c r="GA13" s="36">
        <f>IF(GA6=6,(GA12+FZ13-'Capital investment'!$D$11),(GA12+13))</f>
        <v>13</v>
      </c>
      <c r="GB13" s="36">
        <f>IF(GB6=6,(GB12+GA13-'Capital investment'!$D$11),(GB12+13))</f>
        <v>13</v>
      </c>
      <c r="GC13" s="36">
        <f>IF(GC6=6,(GC12+GB13-'Capital investment'!$D$11),(GC12+13))</f>
        <v>13</v>
      </c>
      <c r="GD13" s="36">
        <f>IF(GD6=6,(GD12+GC13-'Capital investment'!$D$11),(GD12+13))</f>
        <v>13</v>
      </c>
      <c r="GE13" s="36">
        <f>IF(GE6=6,(GE12+GD13-'Capital investment'!$D$11),(GE12+13))</f>
        <v>13</v>
      </c>
      <c r="GF13" s="36">
        <f>IF(GF6=6,(GF12+GE13-'Capital investment'!$D$11),(GF12+13))</f>
        <v>13</v>
      </c>
      <c r="GG13" s="36">
        <f>IF(GG6=6,(GG12+GF13-'Capital investment'!$D$11),(GG12+13))</f>
        <v>13</v>
      </c>
      <c r="GH13" s="36">
        <f>IF(GH6=6,(GH12+GG13-'Capital investment'!$D$11),(GH12+13))</f>
        <v>13</v>
      </c>
      <c r="GI13" s="36">
        <f>IF(GI6=6,(GI12+GH13-'Capital investment'!$D$11),(GI12+13))</f>
        <v>13</v>
      </c>
      <c r="GJ13" s="36">
        <f>IF(GJ6=6,(GJ12+GI13-'Capital investment'!$D$11),(GJ12+13))</f>
        <v>13</v>
      </c>
      <c r="GK13" s="36">
        <f>IF(GK6=6,(GK12+GJ13-'Capital investment'!$D$11),(GK12+13))</f>
        <v>13</v>
      </c>
      <c r="GL13" s="36">
        <f>IF(GL6=6,(GL12+GK13-'Capital investment'!$D$11),(GL12+13))</f>
        <v>13</v>
      </c>
      <c r="GM13" s="36">
        <f>IF(GM6=6,(GM12+GL13-'Capital investment'!$D$11),(GM12+13))</f>
        <v>13</v>
      </c>
      <c r="GN13" s="36">
        <f>IF(GN6=6,(GN12+GM13-'Capital investment'!$D$11),(GN12+13))</f>
        <v>13</v>
      </c>
      <c r="GO13" s="36">
        <f>IF(GO6=6,(GO12+GN13-'Capital investment'!$D$11),(GO12+13))</f>
        <v>13</v>
      </c>
      <c r="GP13" s="36">
        <f>IF(GP6=6,(GP12+GO13-'Capital investment'!$D$11),(GP12+13))</f>
        <v>13</v>
      </c>
      <c r="GQ13" s="36">
        <f>IF(GQ6=6,(GQ12+GP13-'Capital investment'!$D$11),(GQ12+13))</f>
        <v>13</v>
      </c>
      <c r="GR13" s="36">
        <f>IF(GR6=6,(GR12+GQ13-'Capital investment'!$D$11),(GR12+13))</f>
        <v>13</v>
      </c>
      <c r="GS13" s="36">
        <f>IF(GS6=6,(GS12+GR13-'Capital investment'!$D$11),(GS12+13))</f>
        <v>13</v>
      </c>
      <c r="GT13" s="36">
        <f>IF(GT6=6,(GT12+GS13-'Capital investment'!$D$11),(GT12+13))</f>
        <v>13</v>
      </c>
      <c r="GU13" s="36">
        <f>IF(GU6=6,(GU12+GT13-'Capital investment'!$D$11),(GU12+13))</f>
        <v>13</v>
      </c>
      <c r="GV13" s="36">
        <f>IF(GV6=6,(GV12+GU13-'Capital investment'!$D$11),(GV12+13))</f>
        <v>13</v>
      </c>
      <c r="GW13" s="36">
        <f>IF(GW6=6,(GW12+GV13-'Capital investment'!$D$11),(GW12+13))</f>
        <v>13</v>
      </c>
      <c r="GX13" s="36">
        <f>IF(GX6=6,(GX12+GW13-'Capital investment'!$D$11),(GX12+13))</f>
        <v>13</v>
      </c>
      <c r="GY13" s="36">
        <f>IF(GY6=6,(GY12+GX13-'Capital investment'!$D$11),(GY12+13))</f>
        <v>13</v>
      </c>
      <c r="GZ13" s="36">
        <f>IF(GZ6=6,(GZ12+GY13-'Capital investment'!$D$11),(GZ12+13))</f>
        <v>13</v>
      </c>
      <c r="HA13" s="36">
        <f>IF(HA6=6,(HA12+GZ13-'Capital investment'!$D$11),(HA12+13))</f>
        <v>13</v>
      </c>
      <c r="HB13" s="36">
        <f>IF(HB6=6,(HB12+HA13-'Capital investment'!$D$11),(HB12+13))</f>
        <v>13</v>
      </c>
      <c r="HC13" s="36">
        <f>IF(HC6=6,(HC12+HB13-'Capital investment'!$D$11),(HC12+13))</f>
        <v>13</v>
      </c>
      <c r="HD13" s="36">
        <f>IF(HD6=6,(HD12+HC13-'Capital investment'!$D$11),(HD12+13))</f>
        <v>13</v>
      </c>
      <c r="HE13" s="36">
        <f>IF(HE6=6,(HE12+HD13-'Capital investment'!$D$11),(HE12+13))</f>
        <v>13</v>
      </c>
      <c r="HF13" s="36">
        <f>IF(HF6=6,(HF12+HE13-'Capital investment'!$D$11),(HF12+13))</f>
        <v>13</v>
      </c>
      <c r="HG13" s="36">
        <f>IF(HG6=6,(HG12+HF13-'Capital investment'!$D$11),(HG12+13))</f>
        <v>13</v>
      </c>
      <c r="HH13" s="36">
        <f>IF(HH6=6,(HH12+HG13-'Capital investment'!$D$11),(HH12+13))</f>
        <v>13</v>
      </c>
      <c r="HI13" s="36">
        <f>IF(HI6=6,(HI12+HH13-'Capital investment'!$D$11),(HI12+13))</f>
        <v>13</v>
      </c>
      <c r="HJ13" s="36">
        <f>IF(HJ6=6,(HJ12+HI13-'Capital investment'!$D$11),(HJ12+13))</f>
        <v>13</v>
      </c>
      <c r="HK13" s="36">
        <f>IF(HK6=6,(HK12+HJ13-'Capital investment'!$D$11),(HK12+13))</f>
        <v>13</v>
      </c>
      <c r="HL13" s="36">
        <f>IF(HL6=6,(HL12+HK13-'Capital investment'!$D$11),(HL12+13))</f>
        <v>13</v>
      </c>
      <c r="HM13" s="36">
        <f>IF(HM6=6,(HM12+HL13-'Capital investment'!$D$11),(HM12+13))</f>
        <v>13</v>
      </c>
      <c r="HN13" s="36">
        <f>IF(HN6=6,(HN12+HM13-'Capital investment'!$D$11),(HN12+13))</f>
        <v>13</v>
      </c>
      <c r="HO13" s="36">
        <f>IF(HO6=6,(HO12+HN13-'Capital investment'!$D$11),(HO12+13))</f>
        <v>13</v>
      </c>
      <c r="HP13" s="36">
        <f>IF(HP6=6,(HP12+HO13-'Capital investment'!$D$11),(HP12+13))</f>
        <v>13</v>
      </c>
      <c r="HQ13" s="36">
        <f>IF(HQ6=6,(HQ12+HP13-'Capital investment'!$D$11),(HQ12+13))</f>
        <v>13</v>
      </c>
      <c r="HR13" s="36">
        <f>IF(HR6=6,(HR12+HQ13-'Capital investment'!$D$11),(HR12+13))</f>
        <v>13</v>
      </c>
      <c r="HS13" s="36">
        <f>IF(HS6=6,(HS12+HR13-'Capital investment'!$D$11),(HS12+13))</f>
        <v>13</v>
      </c>
      <c r="HT13" s="36">
        <f>IF(HT6=6,(HT12+HS13-'Capital investment'!$D$11),(HT12+13))</f>
        <v>13</v>
      </c>
      <c r="HU13" s="36">
        <f>IF(HU6=6,(HU12+HT13-'Capital investment'!$D$11),(HU12+13))</f>
        <v>13</v>
      </c>
      <c r="HV13" s="36">
        <f>IF(HV6=6,(HV12+HU13-'Capital investment'!$D$11),(HV12+13))</f>
        <v>13</v>
      </c>
      <c r="HW13" s="36">
        <f>IF(HW6=6,(HW12+HV13-'Capital investment'!$D$11),(HW12+13))</f>
        <v>13</v>
      </c>
      <c r="HX13" s="36">
        <f>IF(HX6=6,(HX12+HW13-'Capital investment'!$D$11),(HX12+13))</f>
        <v>13</v>
      </c>
      <c r="HY13" s="36">
        <f>IF(HY6=6,(HY12+HX13-'Capital investment'!$D$11),(HY12+13))</f>
        <v>13</v>
      </c>
      <c r="HZ13" s="36">
        <f>IF(HZ6=6,(HZ12+HY13-'Capital investment'!$D$11),(HZ12+13))</f>
        <v>13</v>
      </c>
      <c r="IA13" s="36">
        <f>IF(IA6=6,(IA12+HZ13-'Capital investment'!$D$11),(IA12+13))</f>
        <v>13</v>
      </c>
      <c r="IB13" s="36">
        <f>IF(IB6=6,(IB12+IA13-'Capital investment'!$D$11),(IB12+13))</f>
        <v>13</v>
      </c>
      <c r="IC13" s="36">
        <f>IF(IC6=6,(IC12+IB13-'Capital investment'!$D$11),(IC12+13))</f>
        <v>13</v>
      </c>
      <c r="ID13" s="36">
        <f>IF(ID6=6,(ID12+IC13-'Capital investment'!$D$11),(ID12+13))</f>
        <v>13</v>
      </c>
      <c r="IE13" s="36">
        <f>IF(IE6=6,(IE12+ID13-'Capital investment'!$D$11),(IE12+13))</f>
        <v>13</v>
      </c>
      <c r="IF13" s="36">
        <f>IF(IF6=6,(IF12+IE13-'Capital investment'!$D$11),(IF12+13))</f>
        <v>13</v>
      </c>
      <c r="IG13" s="36">
        <f>IF(IG6=6,(IG12+IF13-'Capital investment'!$D$11),(IG12+13))</f>
        <v>13</v>
      </c>
      <c r="IH13" s="36">
        <f>IF(IH6=6,(IH12+IG13-'Capital investment'!$D$11),(IH12+13))</f>
        <v>13</v>
      </c>
      <c r="II13" s="36">
        <f>IF(II6=6,(II12+IH13-'Capital investment'!$D$11),(II12+13))</f>
        <v>13</v>
      </c>
      <c r="IJ13" s="36">
        <f>IF(IJ6=6,(IJ12+II13-'Capital investment'!$D$11),(IJ12+13))</f>
        <v>13</v>
      </c>
      <c r="IK13" s="36">
        <f>IF(IK6=6,(IK12+IJ13-'Capital investment'!$D$11),(IK12+13))</f>
        <v>13</v>
      </c>
      <c r="IL13" s="36">
        <f>IF(IL6=6,(IL12+IK13-'Capital investment'!$D$11),(IL12+13))</f>
        <v>13</v>
      </c>
      <c r="IM13" s="36">
        <f>IF(IM6=6,(IM12+IL13-'Capital investment'!$D$11),(IM12+13))</f>
        <v>13</v>
      </c>
      <c r="IN13" s="36">
        <f>IF(IN6=6,(IN12+IM13-'Capital investment'!$D$11),(IN12+13))</f>
        <v>13</v>
      </c>
      <c r="IO13" s="36">
        <f>IF(IO6=6,(IO12+IN13-'Capital investment'!$D$11),(IO12+13))</f>
        <v>13</v>
      </c>
      <c r="IP13" s="36">
        <f>IF(IP6=6,(IP12+IO13-'Capital investment'!$D$11),(IP12+13))</f>
        <v>13</v>
      </c>
      <c r="IQ13" s="36">
        <f>IF(IQ6=6,(IQ12+IP13-'Capital investment'!$D$11),(IQ12+13))</f>
        <v>13</v>
      </c>
      <c r="IR13" s="36">
        <f>IF(IR6=6,(IR12+IQ13-'Capital investment'!$D$11),(IR12+13))</f>
        <v>13</v>
      </c>
      <c r="IS13" s="36">
        <f>IF(IS6=6,(IS12+IR13-'Capital investment'!$D$11),(IS12+13))</f>
        <v>13</v>
      </c>
      <c r="IT13" s="36">
        <f>IF(IT6=6,(IT12+IS13-'Capital investment'!$D$11),(IT12+13))</f>
        <v>13</v>
      </c>
      <c r="IU13" s="36">
        <f>IF(IU6=6,(IU12+IT13-'Capital investment'!$D$11),(IU12+13))</f>
        <v>13</v>
      </c>
      <c r="IV13" s="36">
        <f>IF(IV6=6,(IV12+IU13-'Capital investment'!$D$11),(IV12+13))</f>
        <v>13</v>
      </c>
    </row>
    <row r="14" spans="6:15" ht="15">
      <c r="F14" s="36"/>
      <c r="G14" s="36"/>
      <c r="H14" s="36"/>
      <c r="I14" s="36"/>
      <c r="J14" s="36"/>
      <c r="K14" s="36"/>
      <c r="L14" s="36"/>
      <c r="M14" s="36"/>
      <c r="N14" s="36"/>
      <c r="O14" s="3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39998000860214233"/>
  </sheetPr>
  <dimension ref="B1:O17"/>
  <sheetViews>
    <sheetView zoomScalePageLayoutView="0" workbookViewId="0" topLeftCell="A1">
      <selection activeCell="F17" sqref="F17"/>
    </sheetView>
  </sheetViews>
  <sheetFormatPr defaultColWidth="9.140625" defaultRowHeight="15"/>
  <cols>
    <col min="2" max="2" width="17.8515625" style="0" customWidth="1"/>
    <col min="5" max="5" width="7.00390625" style="0" bestFit="1" customWidth="1"/>
    <col min="6" max="14" width="12.57421875" style="0" bestFit="1" customWidth="1"/>
    <col min="15" max="15" width="12.28125" style="0" customWidth="1"/>
  </cols>
  <sheetData>
    <row r="1" spans="2:15" ht="18.75">
      <c r="B1" s="30" t="s">
        <v>74</v>
      </c>
      <c r="C1" s="30"/>
      <c r="D1" s="30"/>
      <c r="E1" s="18"/>
      <c r="F1" s="18"/>
      <c r="G1" s="18"/>
      <c r="H1" s="18"/>
      <c r="I1" s="18"/>
      <c r="J1" s="18"/>
      <c r="K1" s="18"/>
      <c r="L1" s="18"/>
      <c r="M1" s="18"/>
      <c r="N1" s="18"/>
      <c r="O1" s="18"/>
    </row>
    <row r="2" spans="2:15" ht="18.75">
      <c r="B2" s="30" t="s">
        <v>77</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D4" s="33" t="s">
        <v>54</v>
      </c>
      <c r="E4" s="13">
        <f>'Data input'!$C$13</f>
        <v>42005</v>
      </c>
      <c r="F4" s="13">
        <f>E4+'Data input'!$C$15+1</f>
        <v>42371</v>
      </c>
      <c r="G4" s="13">
        <f>F4+'Data input'!$C$15+1</f>
        <v>42737</v>
      </c>
      <c r="H4" s="13">
        <f>G4+'Data input'!$C$15+1</f>
        <v>43103</v>
      </c>
      <c r="I4" s="13">
        <f>H4+'Data input'!$C$15+1</f>
        <v>43469</v>
      </c>
      <c r="J4" s="13">
        <f>I4+'Data input'!$C$15+1</f>
        <v>43835</v>
      </c>
      <c r="K4" s="13">
        <f>J4+'Data input'!$C$15+1</f>
        <v>44201</v>
      </c>
      <c r="L4" s="13">
        <f>K4+'Data input'!$C$15+1</f>
        <v>44567</v>
      </c>
      <c r="M4" s="13">
        <f>L4+'Data input'!$C$15+1</f>
        <v>44933</v>
      </c>
      <c r="N4" s="13">
        <f>M4+'Data input'!$C$15+1</f>
        <v>45299</v>
      </c>
      <c r="O4" s="13">
        <f>N4+'Data input'!$C$15+1</f>
        <v>45665</v>
      </c>
    </row>
    <row r="5" spans="4:15" ht="15">
      <c r="D5" s="31"/>
      <c r="E5" s="13">
        <f>E4+'Data input'!$C$15-1</f>
        <v>42369</v>
      </c>
      <c r="F5" s="13">
        <f>F4+'Data input'!$C$15-F6</f>
        <v>42735</v>
      </c>
      <c r="G5" s="13">
        <f>G4+'Data input'!$C$15-G6</f>
        <v>43100</v>
      </c>
      <c r="H5" s="13">
        <f>H4+'Data input'!$C$15-H6</f>
        <v>43465</v>
      </c>
      <c r="I5" s="13">
        <f>I4+'Data input'!$C$15-I6</f>
        <v>43830</v>
      </c>
      <c r="J5" s="13">
        <f>J4+'Data input'!$C$15-J6</f>
        <v>44195</v>
      </c>
      <c r="K5" s="13">
        <f>K4+'Data input'!$C$15-K6</f>
        <v>44560</v>
      </c>
      <c r="L5" s="13">
        <f>L4+'Data input'!$C$15-L6</f>
        <v>44925</v>
      </c>
      <c r="M5" s="13">
        <f>M4+'Data input'!$C$15-M6</f>
        <v>45290</v>
      </c>
      <c r="N5" s="13">
        <f>N4+'Data input'!$C$15-N6</f>
        <v>45655</v>
      </c>
      <c r="O5" s="13">
        <f>O4+'Data input'!$C$15-O6</f>
        <v>46020</v>
      </c>
    </row>
    <row r="6" spans="5:15" ht="15">
      <c r="E6">
        <v>0</v>
      </c>
      <c r="F6">
        <v>1</v>
      </c>
      <c r="G6">
        <v>2</v>
      </c>
      <c r="H6">
        <v>3</v>
      </c>
      <c r="I6">
        <v>4</v>
      </c>
      <c r="J6">
        <v>5</v>
      </c>
      <c r="K6">
        <v>6</v>
      </c>
      <c r="L6">
        <v>7</v>
      </c>
      <c r="M6">
        <v>8</v>
      </c>
      <c r="N6">
        <v>9</v>
      </c>
      <c r="O6">
        <v>10</v>
      </c>
    </row>
    <row r="7" spans="2:15" ht="15">
      <c r="B7" t="s">
        <v>84</v>
      </c>
      <c r="F7" s="19">
        <f>(1+'Data input'!$C$5)</f>
        <v>1.03</v>
      </c>
      <c r="G7" s="19">
        <f>(1+'Data input'!$C$5)</f>
        <v>1.03</v>
      </c>
      <c r="H7" s="19">
        <f>(1+'Data input'!$C$5)</f>
        <v>1.03</v>
      </c>
      <c r="I7" s="19">
        <f>(1+'Data input'!$C$5)</f>
        <v>1.03</v>
      </c>
      <c r="J7" s="19">
        <f>(1+'Data input'!$C$5)</f>
        <v>1.03</v>
      </c>
      <c r="K7" s="19">
        <f>(1+'Data input'!$C$5)</f>
        <v>1.03</v>
      </c>
      <c r="L7" s="19">
        <f>(1+'Data input'!$C$5)</f>
        <v>1.03</v>
      </c>
      <c r="M7" s="19">
        <f>(1+'Data input'!$C$5)</f>
        <v>1.03</v>
      </c>
      <c r="N7" s="19">
        <f>(1+'Data input'!$C$5)</f>
        <v>1.03</v>
      </c>
      <c r="O7" s="19">
        <f>(1+'Data input'!$C$5)</f>
        <v>1.03</v>
      </c>
    </row>
    <row r="8" spans="2:15" ht="15">
      <c r="B8" t="s">
        <v>41</v>
      </c>
      <c r="F8" s="20">
        <f>PRODUCT($F$7:F7)</f>
        <v>1.03</v>
      </c>
      <c r="G8" s="20">
        <f>PRODUCT($F$7:G7)</f>
        <v>1.0609</v>
      </c>
      <c r="H8" s="20">
        <f>PRODUCT($F$7:H7)</f>
        <v>1.092727</v>
      </c>
      <c r="I8" s="20">
        <f>PRODUCT($F$7:I7)</f>
        <v>1.1255088100000001</v>
      </c>
      <c r="J8" s="20">
        <f>PRODUCT($F$7:J7)</f>
        <v>1.1592740743</v>
      </c>
      <c r="K8" s="20">
        <f>PRODUCT($F$7:K7)</f>
        <v>1.1940522965290001</v>
      </c>
      <c r="L8" s="20">
        <f>PRODUCT($F$7:L7)</f>
        <v>1.2298738654248702</v>
      </c>
      <c r="M8" s="20">
        <f>PRODUCT($F$7:M7)</f>
        <v>1.2667700813876164</v>
      </c>
      <c r="N8" s="20">
        <f>PRODUCT($F$7:N7)</f>
        <v>1.304773183829245</v>
      </c>
      <c r="O8" s="20">
        <f>PRODUCT($F$7:O7)</f>
        <v>1.3439163793441222</v>
      </c>
    </row>
    <row r="10" spans="2:15" ht="15">
      <c r="B10" s="40" t="s">
        <v>83</v>
      </c>
      <c r="C10" s="40"/>
      <c r="D10" s="40"/>
      <c r="E10" s="40"/>
      <c r="F10" s="41">
        <f>IF(F6&lt;=4,(1+'Data input'!$C$30),(1+'Data input'!$C$31))</f>
        <v>1.1</v>
      </c>
      <c r="G10" s="41">
        <f>IF(G6&lt;=4,(1+'Data input'!$C$30),(1+'Data input'!$C$31))</f>
        <v>1.1</v>
      </c>
      <c r="H10" s="41">
        <f>IF(H6&lt;=4,(1+'Data input'!$C$30),(1+'Data input'!$C$31))</f>
        <v>1.1</v>
      </c>
      <c r="I10" s="41">
        <f>IF(I6&lt;=4,(1+'Data input'!$C$30),(1+'Data input'!$C$31))</f>
        <v>1.1</v>
      </c>
      <c r="J10" s="41">
        <f>IF(J6&lt;=4,(1+'Data input'!$C$30),(1+'Data input'!$C$31))</f>
        <v>1.05</v>
      </c>
      <c r="K10" s="41">
        <f>IF(K6&lt;=4,(1+'Data input'!$C$30),(1+'Data input'!$C$31))</f>
        <v>1.05</v>
      </c>
      <c r="L10" s="41">
        <f>IF(L6&lt;=4,(1+'Data input'!$C$30),(1+'Data input'!$C$31))</f>
        <v>1.05</v>
      </c>
      <c r="M10" s="41">
        <f>IF(M6&lt;=4,(1+'Data input'!$C$30),(1+'Data input'!$C$31))</f>
        <v>1.05</v>
      </c>
      <c r="N10" s="41">
        <f>IF(N6&lt;=4,(1+'Data input'!$C$30),(1+'Data input'!$C$31))</f>
        <v>1.05</v>
      </c>
      <c r="O10" s="41">
        <f>IF(O6&lt;=4,(1+'Data input'!$C$30),(1+'Data input'!$C$31))</f>
        <v>1.05</v>
      </c>
    </row>
    <row r="11" spans="2:15" ht="15">
      <c r="B11" s="40" t="s">
        <v>81</v>
      </c>
      <c r="C11" s="40"/>
      <c r="D11" s="40"/>
      <c r="E11" s="40"/>
      <c r="F11" s="41">
        <f>PRODUCT($F$10:F10)</f>
        <v>1.1</v>
      </c>
      <c r="G11" s="41">
        <f>PRODUCT($F$10:G10)</f>
        <v>1.2100000000000002</v>
      </c>
      <c r="H11" s="41">
        <f>PRODUCT($F$10:H10)</f>
        <v>1.3310000000000004</v>
      </c>
      <c r="I11" s="41">
        <f>PRODUCT($F$10:I10)</f>
        <v>1.4641000000000006</v>
      </c>
      <c r="J11" s="41">
        <f>PRODUCT($F$10:J10)</f>
        <v>1.5373050000000008</v>
      </c>
      <c r="K11" s="41">
        <f>PRODUCT($F$10:K10)</f>
        <v>1.614170250000001</v>
      </c>
      <c r="L11" s="41">
        <f>PRODUCT($F$10:L10)</f>
        <v>1.6948787625000012</v>
      </c>
      <c r="M11" s="41">
        <f>PRODUCT($F$10:M10)</f>
        <v>1.7796227006250014</v>
      </c>
      <c r="N11" s="41">
        <f>PRODUCT($F$10:N10)</f>
        <v>1.8686038356562515</v>
      </c>
      <c r="O11" s="41">
        <f>PRODUCT($F$10:O10)</f>
        <v>1.9620340274390642</v>
      </c>
    </row>
    <row r="12" spans="6:15" ht="15">
      <c r="F12" s="39"/>
      <c r="G12" s="39"/>
      <c r="H12" s="39"/>
      <c r="I12" s="39"/>
      <c r="J12" s="39"/>
      <c r="K12" s="39"/>
      <c r="L12" s="39"/>
      <c r="M12" s="39"/>
      <c r="N12" s="39"/>
      <c r="O12" s="39"/>
    </row>
    <row r="13" spans="2:15" ht="15">
      <c r="B13" t="s">
        <v>78</v>
      </c>
      <c r="F13" s="25">
        <f>'Data input'!$C$28*Revenue!F8*Revenue!F11</f>
        <v>132321167.8832117</v>
      </c>
      <c r="G13" s="25">
        <f>'Data input'!$C$28*Revenue!G8*Revenue!G11</f>
        <v>149919883.21167886</v>
      </c>
      <c r="H13" s="25">
        <f>'Data input'!$C$28*Revenue!H8*Revenue!H11</f>
        <v>169859227.67883217</v>
      </c>
      <c r="I13" s="25">
        <f>'Data input'!$C$28*Revenue!I8*Revenue!I11</f>
        <v>192450504.9601169</v>
      </c>
      <c r="J13" s="25">
        <f>'Data input'!$C$28*Revenue!J8*Revenue!J11</f>
        <v>208135221.11436647</v>
      </c>
      <c r="K13" s="25">
        <f>'Data input'!$C$28*Revenue!K8*Revenue!K11</f>
        <v>225098241.63518733</v>
      </c>
      <c r="L13" s="25">
        <f>'Data input'!$C$28*Revenue!L8*Revenue!L11</f>
        <v>243443748.32845515</v>
      </c>
      <c r="M13" s="25">
        <f>'Data input'!$C$28*Revenue!M8*Revenue!M11</f>
        <v>263284413.81722426</v>
      </c>
      <c r="N13" s="25">
        <f>'Data input'!$C$28*Revenue!N8*Revenue!N11</f>
        <v>284742093.54332805</v>
      </c>
      <c r="O13" s="25">
        <f>'Data input'!$C$28*Revenue!O8*Revenue!O11</f>
        <v>307948574.16710925</v>
      </c>
    </row>
    <row r="14" spans="2:15" ht="15">
      <c r="B14" t="s">
        <v>121</v>
      </c>
      <c r="F14" s="25">
        <f>'Data input'!$C$29*Revenue!F13</f>
        <v>26464233.576642342</v>
      </c>
      <c r="G14" s="25">
        <f>'Data input'!$C$29*Revenue!G13</f>
        <v>29983976.642335773</v>
      </c>
      <c r="H14" s="25">
        <f>'Data input'!$C$29*Revenue!H13</f>
        <v>33971845.53576644</v>
      </c>
      <c r="I14" s="25">
        <f>'Data input'!$C$29*Revenue!I13</f>
        <v>38490100.99202338</v>
      </c>
      <c r="J14" s="25">
        <f>'Data input'!$C$29*Revenue!J13</f>
        <v>41627044.2228733</v>
      </c>
      <c r="K14" s="25">
        <f>'Data input'!$C$29*Revenue!K13</f>
        <v>45019648.32703747</v>
      </c>
      <c r="L14" s="25">
        <f>'Data input'!$C$29*Revenue!L13</f>
        <v>48688749.66569103</v>
      </c>
      <c r="M14" s="25">
        <f>'Data input'!$C$29*Revenue!M13</f>
        <v>52656882.763444856</v>
      </c>
      <c r="N14" s="25">
        <f>'Data input'!$C$29*Revenue!N13</f>
        <v>56948418.70866561</v>
      </c>
      <c r="O14" s="25">
        <f>'Data input'!$C$29*Revenue!O13</f>
        <v>61589714.833421856</v>
      </c>
    </row>
    <row r="15" spans="2:15" ht="15">
      <c r="B15" t="s">
        <v>123</v>
      </c>
      <c r="F15" s="25">
        <f>(('Balance sheet'!E15+'Balance sheet'!F15)/2)*'Data input'!$C$6</f>
        <v>48508.19237090033</v>
      </c>
      <c r="G15" s="25">
        <f>(('Balance sheet'!F15+'Balance sheet'!G15)/2)*'Data input'!$C$6</f>
        <v>160572.2487300589</v>
      </c>
      <c r="H15" s="25">
        <f>(('Balance sheet'!G15+'Balance sheet'!H15)/2)*'Data input'!$C$6</f>
        <v>311949.092588343</v>
      </c>
      <c r="I15" s="25">
        <f>(('Balance sheet'!H15+'Balance sheet'!I15)/2)*'Data input'!$C$6</f>
        <v>515155.5560136529</v>
      </c>
      <c r="J15" s="25">
        <f>(('Balance sheet'!I15+'Balance sheet'!J15)/2)*'Data input'!$C$6</f>
        <v>764776.1825404589</v>
      </c>
      <c r="K15" s="25">
        <f>(('Balance sheet'!J15+'Balance sheet'!K15)/2)*'Data input'!$C$6</f>
        <v>1136087.946569411</v>
      </c>
      <c r="L15" s="25">
        <f>(('Balance sheet'!K15+'Balance sheet'!L15)/2)*'Data input'!$C$6</f>
        <v>1633396.746595239</v>
      </c>
      <c r="M15" s="25">
        <f>(('Balance sheet'!L15+'Balance sheet'!M15)/2)*'Data input'!$C$6</f>
        <v>2178870.9222960486</v>
      </c>
      <c r="N15" s="25">
        <f>(('Balance sheet'!M15+'Balance sheet'!N15)/2)*'Data input'!$C$6</f>
        <v>2816068.4479671344</v>
      </c>
      <c r="O15" s="25">
        <f>(('Balance sheet'!N15+'Balance sheet'!O15)/2)*'Data input'!$C$6</f>
        <v>3549445.207674549</v>
      </c>
    </row>
    <row r="16" spans="2:15" ht="15">
      <c r="B16" s="42" t="s">
        <v>82</v>
      </c>
      <c r="C16" s="42"/>
      <c r="D16" s="42"/>
      <c r="E16" s="42"/>
      <c r="F16" s="43">
        <f>SUM(F13:F14)</f>
        <v>158785401.45985404</v>
      </c>
      <c r="G16" s="43">
        <f aca="true" t="shared" si="0" ref="G16:O16">SUM(G13:G14)</f>
        <v>179903859.85401464</v>
      </c>
      <c r="H16" s="43">
        <f t="shared" si="0"/>
        <v>203831073.2145986</v>
      </c>
      <c r="I16" s="43">
        <f t="shared" si="0"/>
        <v>230940605.95214027</v>
      </c>
      <c r="J16" s="43">
        <f t="shared" si="0"/>
        <v>249762265.33723977</v>
      </c>
      <c r="K16" s="43">
        <f t="shared" si="0"/>
        <v>270117889.9622248</v>
      </c>
      <c r="L16" s="43">
        <f t="shared" si="0"/>
        <v>292132497.99414617</v>
      </c>
      <c r="M16" s="43">
        <f t="shared" si="0"/>
        <v>315941296.5806691</v>
      </c>
      <c r="N16" s="43">
        <f t="shared" si="0"/>
        <v>341690512.25199366</v>
      </c>
      <c r="O16" s="43">
        <f t="shared" si="0"/>
        <v>369538289.0005311</v>
      </c>
    </row>
    <row r="17" spans="2:15" ht="15">
      <c r="B17" t="s">
        <v>108</v>
      </c>
      <c r="F17" s="25">
        <f>'Data input'!$C$32*Revenue!F16</f>
        <v>15878540.145985404</v>
      </c>
      <c r="G17" s="25">
        <f>'Data input'!$C$32*Revenue!G16</f>
        <v>17990385.985401463</v>
      </c>
      <c r="H17" s="25">
        <f>'Data input'!$C$32*Revenue!H16</f>
        <v>20383107.32145986</v>
      </c>
      <c r="I17" s="25">
        <f>'Data input'!$C$32*Revenue!I16</f>
        <v>23094060.595214028</v>
      </c>
      <c r="J17" s="25">
        <f>'Data input'!$C$32*Revenue!J16</f>
        <v>24976226.53372398</v>
      </c>
      <c r="K17" s="25">
        <f>'Data input'!$C$32*Revenue!K16</f>
        <v>27011788.99622248</v>
      </c>
      <c r="L17" s="25">
        <f>'Data input'!$C$32*Revenue!L16</f>
        <v>29213249.79941462</v>
      </c>
      <c r="M17" s="25">
        <f>'Data input'!$C$32*Revenue!M16</f>
        <v>31594129.658066913</v>
      </c>
      <c r="N17" s="25">
        <f>'Data input'!$C$32*Revenue!N16</f>
        <v>34169051.225199364</v>
      </c>
      <c r="O17" s="25">
        <f>'Data input'!$C$32*Revenue!O16</f>
        <v>36953828.900053106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5" tint="-0.24997000396251678"/>
  </sheetPr>
  <dimension ref="B1:O12"/>
  <sheetViews>
    <sheetView zoomScalePageLayoutView="0" workbookViewId="0" topLeftCell="B1">
      <selection activeCell="F10" sqref="F10"/>
    </sheetView>
  </sheetViews>
  <sheetFormatPr defaultColWidth="9.140625" defaultRowHeight="15"/>
  <cols>
    <col min="2" max="2" width="22.8515625" style="0" customWidth="1"/>
    <col min="6" max="6" width="13.7109375" style="0" customWidth="1"/>
    <col min="7" max="15" width="11.57421875" style="0" bestFit="1" customWidth="1"/>
  </cols>
  <sheetData>
    <row r="1" spans="2:15" ht="18.75">
      <c r="B1" s="30" t="s">
        <v>74</v>
      </c>
      <c r="C1" s="30"/>
      <c r="D1" s="30"/>
      <c r="E1" s="18"/>
      <c r="F1" s="18"/>
      <c r="G1" s="18"/>
      <c r="H1" s="18"/>
      <c r="I1" s="18"/>
      <c r="J1" s="18"/>
      <c r="K1" s="18"/>
      <c r="L1" s="18"/>
      <c r="M1" s="18"/>
      <c r="N1" s="18"/>
      <c r="O1" s="18"/>
    </row>
    <row r="2" spans="2:15" ht="18.75">
      <c r="B2" s="30" t="s">
        <v>113</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D4" s="33" t="s">
        <v>54</v>
      </c>
      <c r="E4" s="50">
        <f>'Data input'!$C$13</f>
        <v>42005</v>
      </c>
      <c r="F4" s="50">
        <f>E4+'Data input'!$C$15+1</f>
        <v>42371</v>
      </c>
      <c r="G4" s="50">
        <f>F4+'Data input'!$C$15+1</f>
        <v>42737</v>
      </c>
      <c r="H4" s="50">
        <f>G4+'Data input'!$C$15+1</f>
        <v>43103</v>
      </c>
      <c r="I4" s="50">
        <f>H4+'Data input'!$C$15+1</f>
        <v>43469</v>
      </c>
      <c r="J4" s="50">
        <f>I4+'Data input'!$C$15+1</f>
        <v>43835</v>
      </c>
      <c r="K4" s="50">
        <f>J4+'Data input'!$C$15+1</f>
        <v>44201</v>
      </c>
      <c r="L4" s="50">
        <f>K4+'Data input'!$C$15+1</f>
        <v>44567</v>
      </c>
      <c r="M4" s="50">
        <f>L4+'Data input'!$C$15+1</f>
        <v>44933</v>
      </c>
      <c r="N4" s="50">
        <f>M4+'Data input'!$C$15+1</f>
        <v>45299</v>
      </c>
      <c r="O4" s="50">
        <f>N4+'Data input'!$C$15+1</f>
        <v>45665</v>
      </c>
    </row>
    <row r="5" spans="4:15" ht="15">
      <c r="D5" s="31"/>
      <c r="E5" s="50">
        <f>E4+'Data input'!$C$15-1</f>
        <v>42369</v>
      </c>
      <c r="F5" s="50">
        <f>F4+'Data input'!$C$15-F6</f>
        <v>42735</v>
      </c>
      <c r="G5" s="50">
        <f>G4+'Data input'!$C$15-G6</f>
        <v>43100</v>
      </c>
      <c r="H5" s="50">
        <f>H4+'Data input'!$C$15-H6</f>
        <v>43465</v>
      </c>
      <c r="I5" s="50">
        <f>I4+'Data input'!$C$15-I6</f>
        <v>43830</v>
      </c>
      <c r="J5" s="50">
        <f>J4+'Data input'!$C$15-J6</f>
        <v>44195</v>
      </c>
      <c r="K5" s="50">
        <f>K4+'Data input'!$C$15-K6</f>
        <v>44560</v>
      </c>
      <c r="L5" s="50">
        <f>L4+'Data input'!$C$15-L6</f>
        <v>44925</v>
      </c>
      <c r="M5" s="50">
        <f>M4+'Data input'!$C$15-M6</f>
        <v>45290</v>
      </c>
      <c r="N5" s="50">
        <f>N4+'Data input'!$C$15-N6</f>
        <v>45655</v>
      </c>
      <c r="O5" s="50">
        <f>O4+'Data input'!$C$15-O6</f>
        <v>46020</v>
      </c>
    </row>
    <row r="6" spans="5:15" ht="15">
      <c r="E6">
        <v>0</v>
      </c>
      <c r="F6">
        <v>1</v>
      </c>
      <c r="G6">
        <v>2</v>
      </c>
      <c r="H6">
        <v>3</v>
      </c>
      <c r="I6">
        <v>4</v>
      </c>
      <c r="J6">
        <v>5</v>
      </c>
      <c r="K6">
        <v>6</v>
      </c>
      <c r="L6">
        <v>7</v>
      </c>
      <c r="M6">
        <v>8</v>
      </c>
      <c r="N6">
        <v>9</v>
      </c>
      <c r="O6">
        <v>10</v>
      </c>
    </row>
    <row r="7" spans="2:15" ht="15">
      <c r="B7" t="s">
        <v>75</v>
      </c>
      <c r="F7" s="25">
        <f>'Data input'!$C$37*Revenue!F17</f>
        <v>3969635.036496351</v>
      </c>
      <c r="G7" s="25">
        <f>'Data input'!$C$37*Revenue!G17</f>
        <v>4497596.496350366</v>
      </c>
      <c r="H7" s="25">
        <f>'Data input'!$C$37*Revenue!H17</f>
        <v>5095776.830364965</v>
      </c>
      <c r="I7" s="25">
        <f>'Data input'!$C$37*Revenue!I17</f>
        <v>5773515.148803507</v>
      </c>
      <c r="J7" s="25">
        <f>'Data input'!$C$37*Revenue!J17</f>
        <v>6244056.633430995</v>
      </c>
      <c r="K7" s="25">
        <f>'Data input'!$C$37*Revenue!K17</f>
        <v>6752947.24905562</v>
      </c>
      <c r="L7" s="25">
        <f>'Data input'!$C$37*Revenue!L17</f>
        <v>7303312.449853655</v>
      </c>
      <c r="M7" s="25">
        <f>'Data input'!$C$37*Revenue!M17</f>
        <v>7898532.414516728</v>
      </c>
      <c r="N7" s="25">
        <f>'Data input'!$C$37*Revenue!N17</f>
        <v>8542262.806299841</v>
      </c>
      <c r="O7" s="25">
        <f>'Data input'!$C$37*Revenue!O17</f>
        <v>9238457.225013277</v>
      </c>
    </row>
    <row r="8" spans="2:15" ht="15">
      <c r="B8" t="str">
        <f>+'Data input'!B35</f>
        <v>Fixed fee</v>
      </c>
      <c r="F8" s="25">
        <f>'Data input'!$C$35*Revenue!F16</f>
        <v>4763562.043795621</v>
      </c>
      <c r="G8" s="25">
        <f>'Data input'!$C$35*Revenue!G16</f>
        <v>5397115.795620439</v>
      </c>
      <c r="H8" s="25">
        <f>'Data input'!$C$35*Revenue!H16</f>
        <v>6114932.196437958</v>
      </c>
      <c r="I8" s="25">
        <f>'Data input'!$C$35*Revenue!I16</f>
        <v>6928218.178564208</v>
      </c>
      <c r="J8" s="25">
        <f>'Data input'!$C$35*Revenue!J16</f>
        <v>7492867.960117193</v>
      </c>
      <c r="K8" s="25">
        <f>'Data input'!$C$35*Revenue!K16</f>
        <v>8103536.698866744</v>
      </c>
      <c r="L8" s="25">
        <f>'Data input'!$C$35*Revenue!L16</f>
        <v>8763974.939824386</v>
      </c>
      <c r="M8" s="25">
        <f>'Data input'!$C$35*Revenue!M16</f>
        <v>9478238.897420073</v>
      </c>
      <c r="N8" s="25">
        <f>'Data input'!$C$35*Revenue!N16</f>
        <v>10250715.36755981</v>
      </c>
      <c r="O8" s="25">
        <f>'Data input'!$C$35*Revenue!O16</f>
        <v>11086148.670015931</v>
      </c>
    </row>
    <row r="9" spans="2:15" ht="15">
      <c r="B9" t="str">
        <f>+'Data input'!B36</f>
        <v>Incentive based</v>
      </c>
      <c r="F9" s="25">
        <f>'P &amp; L'!F19</f>
        <v>660012.91501083</v>
      </c>
      <c r="G9" s="25">
        <f>'P &amp; L'!G19</f>
        <v>771669.2699746873</v>
      </c>
      <c r="H9" s="25">
        <f>'P &amp; L'!H19</f>
        <v>898346.7780247611</v>
      </c>
      <c r="I9" s="25">
        <f>'P &amp; L'!I19</f>
        <v>1042094.2701408323</v>
      </c>
      <c r="J9" s="25">
        <f>'P &amp; L'!J19</f>
        <v>1142655.326298292</v>
      </c>
      <c r="K9" s="25">
        <f>'P &amp; L'!K19</f>
        <v>1239248.6014638732</v>
      </c>
      <c r="L9" s="25">
        <f>'P &amp; L'!L19</f>
        <v>1358306.4552316417</v>
      </c>
      <c r="M9" s="25">
        <f>'P &amp; L'!M19</f>
        <v>1487120.9670407928</v>
      </c>
      <c r="N9" s="25">
        <f>'P &amp; L'!N19</f>
        <v>1626764.7319949442</v>
      </c>
      <c r="O9" s="25">
        <f>'P &amp; L'!O19</f>
        <v>1778099.1972427175</v>
      </c>
    </row>
    <row r="10" spans="2:15" ht="15">
      <c r="B10" s="31" t="s">
        <v>115</v>
      </c>
      <c r="F10" s="35">
        <f>SUM(F7:F9)</f>
        <v>9393209.995302802</v>
      </c>
      <c r="G10" s="35">
        <f aca="true" t="shared" si="0" ref="G10:O10">SUM(G7:G9)</f>
        <v>10666381.561945492</v>
      </c>
      <c r="H10" s="35">
        <f t="shared" si="0"/>
        <v>12109055.804827685</v>
      </c>
      <c r="I10" s="35">
        <f t="shared" si="0"/>
        <v>13743827.597508548</v>
      </c>
      <c r="J10" s="35">
        <f t="shared" si="0"/>
        <v>14879579.91984648</v>
      </c>
      <c r="K10" s="35">
        <f t="shared" si="0"/>
        <v>16095732.549386237</v>
      </c>
      <c r="L10" s="35">
        <f t="shared" si="0"/>
        <v>17425593.844909683</v>
      </c>
      <c r="M10" s="35">
        <f t="shared" si="0"/>
        <v>18863892.278977595</v>
      </c>
      <c r="N10" s="35">
        <f t="shared" si="0"/>
        <v>20419742.905854594</v>
      </c>
      <c r="O10" s="35">
        <f t="shared" si="0"/>
        <v>22102705.092271928</v>
      </c>
    </row>
    <row r="12" ht="15">
      <c r="F12" s="25">
        <f>+F10*3/12</f>
        <v>2348302.4988257005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6" tint="-0.4999699890613556"/>
  </sheetPr>
  <dimension ref="B1:P15"/>
  <sheetViews>
    <sheetView zoomScalePageLayoutView="0" workbookViewId="0" topLeftCell="A1">
      <selection activeCell="F9" sqref="F9"/>
    </sheetView>
  </sheetViews>
  <sheetFormatPr defaultColWidth="9.140625" defaultRowHeight="15"/>
  <cols>
    <col min="2" max="2" width="26.57421875" style="0" bestFit="1" customWidth="1"/>
    <col min="4" max="4" width="5.421875" style="0" bestFit="1" customWidth="1"/>
    <col min="5" max="5" width="11.57421875" style="0" customWidth="1"/>
    <col min="6" max="6" width="13.28125" style="0" bestFit="1" customWidth="1"/>
    <col min="7" max="12" width="11.28125" style="0" bestFit="1" customWidth="1"/>
    <col min="13" max="13" width="15.00390625" style="0" bestFit="1" customWidth="1"/>
    <col min="14" max="14" width="11.28125" style="0" bestFit="1" customWidth="1"/>
    <col min="15" max="15" width="13.421875" style="0" customWidth="1"/>
    <col min="16" max="16" width="11.28125" style="0" bestFit="1" customWidth="1"/>
  </cols>
  <sheetData>
    <row r="1" spans="2:15" ht="18.75">
      <c r="B1" s="30" t="s">
        <v>74</v>
      </c>
      <c r="C1" s="30"/>
      <c r="D1" s="30"/>
      <c r="E1" s="18"/>
      <c r="F1" s="18"/>
      <c r="G1" s="18"/>
      <c r="H1" s="18"/>
      <c r="I1" s="18"/>
      <c r="J1" s="18"/>
      <c r="K1" s="18"/>
      <c r="L1" s="18"/>
      <c r="M1" s="18"/>
      <c r="N1" s="18"/>
      <c r="O1" s="18"/>
    </row>
    <row r="2" spans="2:15" ht="18.75">
      <c r="B2" s="30" t="s">
        <v>114</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t="s">
        <v>52</v>
      </c>
      <c r="D4" s="33" t="s">
        <v>54</v>
      </c>
      <c r="E4" s="13">
        <f>'Data input'!$C$13</f>
        <v>42005</v>
      </c>
      <c r="F4" s="13">
        <f>E4+'Data input'!$C$15+1</f>
        <v>42371</v>
      </c>
      <c r="G4" s="13">
        <f>F4+'Data input'!$C$15+1</f>
        <v>42737</v>
      </c>
      <c r="H4" s="13">
        <f>G4+'Data input'!$C$15+1</f>
        <v>43103</v>
      </c>
      <c r="I4" s="13">
        <f>H4+'Data input'!$C$15+1</f>
        <v>43469</v>
      </c>
      <c r="J4" s="13">
        <f>I4+'Data input'!$C$15+1</f>
        <v>43835</v>
      </c>
      <c r="K4" s="13">
        <f>J4+'Data input'!$C$15+1</f>
        <v>44201</v>
      </c>
      <c r="L4" s="13">
        <f>K4+'Data input'!$C$15+1</f>
        <v>44567</v>
      </c>
      <c r="M4" s="13">
        <f>L4+'Data input'!$C$15+1</f>
        <v>44933</v>
      </c>
      <c r="N4" s="13">
        <f>M4+'Data input'!$C$15+1</f>
        <v>45299</v>
      </c>
      <c r="O4" s="13">
        <f>N4+'Data input'!$C$15+1</f>
        <v>45665</v>
      </c>
    </row>
    <row r="5" spans="4:15" ht="15">
      <c r="D5" s="31"/>
      <c r="E5" s="13">
        <f>E4+'Data input'!$C$15-1</f>
        <v>42369</v>
      </c>
      <c r="F5" s="13">
        <f>F4+'Data input'!$C$15-F6</f>
        <v>42735</v>
      </c>
      <c r="G5" s="13">
        <f>G4+'Data input'!$C$15-G6</f>
        <v>43100</v>
      </c>
      <c r="H5" s="13">
        <f>H4+'Data input'!$C$15-H6</f>
        <v>43465</v>
      </c>
      <c r="I5" s="13">
        <f>I4+'Data input'!$C$15-I6</f>
        <v>43830</v>
      </c>
      <c r="J5" s="13">
        <f>J4+'Data input'!$C$15-J6</f>
        <v>44195</v>
      </c>
      <c r="K5" s="13">
        <f>K4+'Data input'!$C$15-K6</f>
        <v>44560</v>
      </c>
      <c r="L5" s="13">
        <f>L4+'Data input'!$C$15-L6</f>
        <v>44925</v>
      </c>
      <c r="M5" s="13">
        <f>M4+'Data input'!$C$15-M6</f>
        <v>45290</v>
      </c>
      <c r="N5" s="13">
        <f>N4+'Data input'!$C$15-N6</f>
        <v>45655</v>
      </c>
      <c r="O5" s="13">
        <f>O4+'Data input'!$C$15-O6</f>
        <v>46020</v>
      </c>
    </row>
    <row r="6" spans="5:15" ht="15">
      <c r="E6">
        <v>0</v>
      </c>
      <c r="F6">
        <v>1</v>
      </c>
      <c r="G6">
        <v>2</v>
      </c>
      <c r="H6">
        <v>3</v>
      </c>
      <c r="I6">
        <v>4</v>
      </c>
      <c r="J6">
        <v>5</v>
      </c>
      <c r="K6">
        <v>6</v>
      </c>
      <c r="L6">
        <v>7</v>
      </c>
      <c r="M6">
        <v>8</v>
      </c>
      <c r="N6">
        <v>9</v>
      </c>
      <c r="O6">
        <v>10</v>
      </c>
    </row>
    <row r="7" spans="2:16" ht="15">
      <c r="B7" t="s">
        <v>117</v>
      </c>
      <c r="F7" s="25">
        <f>-IF(('Financing '!F19=TRUE),('Financing '!F17*('Data input'!$C$58/12)),0)</f>
        <v>-4840156.177621986</v>
      </c>
      <c r="G7" s="25">
        <f>-IF(('Financing '!G19=TRUE),('Financing '!G17*('Data input'!$C$58/12)),0)</f>
        <v>-4840156.177621986</v>
      </c>
      <c r="H7" s="25">
        <f>-IF(('Financing '!H19=TRUE),('Financing '!H17*('Data input'!$C$58/12)),0)</f>
        <v>-4840156.177621986</v>
      </c>
      <c r="I7" s="25">
        <f>-IF(('Financing '!I19=TRUE),('Financing '!I17*('Data input'!$C$58/12)),0)</f>
        <v>-4840156.177621986</v>
      </c>
      <c r="J7" s="25">
        <f>-IF(('Financing '!J19=TRUE),('Financing '!J17*('Data input'!$C$58/12)),0)</f>
        <v>-4840156.177621986</v>
      </c>
      <c r="K7" s="25">
        <f>-IF(('Financing '!K19=TRUE),('Financing '!K17*('Data input'!$C$58/12)),0)</f>
        <v>-1582561.5612137774</v>
      </c>
      <c r="L7" s="25">
        <f>-IF(('Financing '!L19=TRUE),('Financing '!L17*('Data input'!$C$58/12)),0)</f>
        <v>-1582561.5612137774</v>
      </c>
      <c r="M7" s="25">
        <f>-IF(('Financing '!M19=TRUE),('Financing '!M17*('Data input'!$C$58/12)),0)</f>
        <v>-1582561.5612137774</v>
      </c>
      <c r="N7" s="25">
        <f>-IF(('Financing '!N19=TRUE),('Financing '!N17*('Data input'!$C$58/12)),0)</f>
        <v>0</v>
      </c>
      <c r="O7" s="25">
        <f>-IF(('Financing '!O19=TRUE),('Financing '!O17*('Data input'!$C$58/12)),0)</f>
        <v>0</v>
      </c>
      <c r="P7" s="25"/>
    </row>
    <row r="8" spans="2:16" ht="15">
      <c r="B8" t="s">
        <v>125</v>
      </c>
      <c r="F8" s="25">
        <f>'P &amp; L'!F13*(1-'Data input'!$C$54)</f>
        <v>14295051.868700244</v>
      </c>
      <c r="G8" s="25">
        <f>'P &amp; L'!G13*(1-'Data input'!$C$54)</f>
        <v>16205798.889247023</v>
      </c>
      <c r="H8" s="25">
        <f>'P &amp; L'!H13*(1-'Data input'!$C$54)</f>
        <v>18372872.007646825</v>
      </c>
      <c r="I8" s="25">
        <f>'P &amp; L'!I13*(1-'Data input'!$C$54)</f>
        <v>20831018.535733856</v>
      </c>
      <c r="J8" s="25">
        <f>'P &amp; L'!J13*(1-'Data input'!$C$54)</f>
        <v>22547433.736780223</v>
      </c>
      <c r="K8" s="25">
        <f>'P &amp; L'!K13*(1-'Data input'!$C$54)</f>
        <v>24412858.011791475</v>
      </c>
      <c r="L8" s="25">
        <f>'P &amp; L'!L13*(1-'Data input'!$C$54)</f>
        <v>26438930.52666673</v>
      </c>
      <c r="M8" s="25">
        <f>'P &amp; L'!M13*(1-'Data input'!$C$54)</f>
        <v>28630815.075266868</v>
      </c>
      <c r="N8" s="25">
        <f>'P &amp; L'!N13*(1-'Data input'!$C$54)</f>
        <v>31005592.262996472</v>
      </c>
      <c r="O8" s="25">
        <f>'P &amp; L'!O13*(1-'Data input'!$C$54)</f>
        <v>33577896.07873851</v>
      </c>
      <c r="P8" s="25"/>
    </row>
    <row r="9" spans="2:16" ht="15">
      <c r="B9" t="s">
        <v>116</v>
      </c>
      <c r="F9" s="25">
        <f>-Opex!F10*(1-'Data input'!$C$55)</f>
        <v>-7514567.996242242</v>
      </c>
      <c r="G9" s="25">
        <f>-Opex!G10*(1-'Data input'!$C$55)</f>
        <v>-8533105.249556394</v>
      </c>
      <c r="H9" s="25">
        <f>-Opex!H10*(1-'Data input'!$C$55)</f>
        <v>-9687244.643862149</v>
      </c>
      <c r="I9" s="25">
        <f>-Opex!I10*(1-'Data input'!$C$55)</f>
        <v>-10995062.07800684</v>
      </c>
      <c r="J9" s="25">
        <f>-Opex!J10*(1-'Data input'!$C$55)</f>
        <v>-11903663.935877185</v>
      </c>
      <c r="K9" s="25">
        <f>-Opex!K10*(1-'Data input'!$C$55)</f>
        <v>-12876586.039508991</v>
      </c>
      <c r="L9" s="25">
        <f>-Opex!L10*(1-'Data input'!$C$55)</f>
        <v>-13940475.075927747</v>
      </c>
      <c r="M9" s="25">
        <f>-Opex!M10*(1-'Data input'!$C$55)</f>
        <v>-15091113.823182076</v>
      </c>
      <c r="N9" s="25">
        <f>-Opex!N10*(1-'Data input'!$C$55)</f>
        <v>-16335794.324683676</v>
      </c>
      <c r="O9" s="25">
        <f>-Opex!O10*(1-'Data input'!$C$55)</f>
        <v>-17682164.073817544</v>
      </c>
      <c r="P9" s="36">
        <f>O9</f>
        <v>-17682164.073817544</v>
      </c>
    </row>
    <row r="10" spans="2:15" ht="15">
      <c r="B10" s="48" t="s">
        <v>54</v>
      </c>
      <c r="C10" s="48"/>
      <c r="D10" s="48"/>
      <c r="E10" s="48"/>
      <c r="F10" s="38">
        <f>SUM(F7:F9)</f>
        <v>1940327.694836013</v>
      </c>
      <c r="G10" s="38">
        <f aca="true" t="shared" si="0" ref="G10:O10">SUM(G7:G9)</f>
        <v>2832537.4620686397</v>
      </c>
      <c r="H10" s="38">
        <f t="shared" si="0"/>
        <v>3845471.186162688</v>
      </c>
      <c r="I10" s="38">
        <f t="shared" si="0"/>
        <v>4995800.280105028</v>
      </c>
      <c r="J10" s="38">
        <f t="shared" si="0"/>
        <v>5803613.6232810505</v>
      </c>
      <c r="K10" s="38">
        <f t="shared" si="0"/>
        <v>9953710.411068704</v>
      </c>
      <c r="L10" s="38">
        <f t="shared" si="0"/>
        <v>10915893.889525203</v>
      </c>
      <c r="M10" s="38">
        <f t="shared" si="0"/>
        <v>11957139.690871011</v>
      </c>
      <c r="N10" s="38">
        <f t="shared" si="0"/>
        <v>14669797.938312797</v>
      </c>
      <c r="O10" s="38">
        <f t="shared" si="0"/>
        <v>15895732.004920967</v>
      </c>
    </row>
    <row r="12" spans="2:6" ht="15">
      <c r="B12" t="s">
        <v>142</v>
      </c>
      <c r="F12" s="36">
        <f>-1*(F7+F9)</f>
        <v>12354724.17386423</v>
      </c>
    </row>
    <row r="13" ht="15">
      <c r="J13" s="36"/>
    </row>
    <row r="14" spans="2:15" ht="15">
      <c r="B14" t="s">
        <v>144</v>
      </c>
      <c r="E14" s="36">
        <f>IF(E6=5,(-F7--E7+$E$14),IF(E6=8,(-F7--E7+$J$14),(-F7--E7)))</f>
        <v>4840156.177621986</v>
      </c>
      <c r="F14" s="36">
        <f aca="true" t="shared" si="1" ref="F14:O14">IF(F6=5,(-G7--F7+$E$14),IF(F6=8,(-G7--F7+$J$14),(-G7--F7)))</f>
        <v>0</v>
      </c>
      <c r="G14" s="36">
        <f t="shared" si="1"/>
        <v>0</v>
      </c>
      <c r="H14" s="36">
        <f t="shared" si="1"/>
        <v>0</v>
      </c>
      <c r="I14" s="36">
        <f t="shared" si="1"/>
        <v>0</v>
      </c>
      <c r="J14" s="36">
        <f t="shared" si="1"/>
        <v>1582561.5612137774</v>
      </c>
      <c r="K14" s="36">
        <f t="shared" si="1"/>
        <v>0</v>
      </c>
      <c r="L14" s="36">
        <f t="shared" si="1"/>
        <v>0</v>
      </c>
      <c r="M14" s="36">
        <f t="shared" si="1"/>
        <v>0</v>
      </c>
      <c r="N14" s="36">
        <f t="shared" si="1"/>
        <v>0</v>
      </c>
      <c r="O14" s="36">
        <f t="shared" si="1"/>
        <v>0</v>
      </c>
    </row>
    <row r="15" spans="2:15" ht="15">
      <c r="B15" t="s">
        <v>116</v>
      </c>
      <c r="E15" s="36">
        <f>-F9--E9</f>
        <v>7514567.996242242</v>
      </c>
      <c r="F15" s="36">
        <f aca="true" t="shared" si="2" ref="F15:M15">-G9--F9</f>
        <v>1018537.2533141524</v>
      </c>
      <c r="G15" s="36">
        <f t="shared" si="2"/>
        <v>1154139.3943057545</v>
      </c>
      <c r="H15" s="36">
        <f t="shared" si="2"/>
        <v>1307817.4341446906</v>
      </c>
      <c r="I15" s="36">
        <f t="shared" si="2"/>
        <v>908601.8578703459</v>
      </c>
      <c r="J15" s="36">
        <f t="shared" si="2"/>
        <v>972922.1036318056</v>
      </c>
      <c r="K15" s="36">
        <f t="shared" si="2"/>
        <v>1063889.0364187565</v>
      </c>
      <c r="L15" s="36">
        <f t="shared" si="2"/>
        <v>1150638.7472543288</v>
      </c>
      <c r="M15" s="36">
        <f t="shared" si="2"/>
        <v>1244680.5015015993</v>
      </c>
      <c r="N15" s="36">
        <f>-O9--N9</f>
        <v>1346369.7491338681</v>
      </c>
      <c r="O15" s="36">
        <f>-P9--O9</f>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pageSetUpPr fitToPage="1"/>
  </sheetPr>
  <dimension ref="B1:O24"/>
  <sheetViews>
    <sheetView zoomScalePageLayoutView="0" workbookViewId="0" topLeftCell="B1">
      <selection activeCell="F13" sqref="F13"/>
    </sheetView>
  </sheetViews>
  <sheetFormatPr defaultColWidth="9.140625" defaultRowHeight="15"/>
  <cols>
    <col min="2" max="2" width="20.7109375" style="0" customWidth="1"/>
    <col min="3" max="3" width="8.57421875" style="0" customWidth="1"/>
    <col min="4" max="4" width="9.7109375" style="0" customWidth="1"/>
    <col min="5" max="5" width="13.00390625" style="0" customWidth="1"/>
    <col min="6" max="6" width="18.00390625" style="0" bestFit="1" customWidth="1"/>
    <col min="7" max="9" width="14.28125" style="0" bestFit="1" customWidth="1"/>
    <col min="10" max="15" width="15.28125" style="0" bestFit="1" customWidth="1"/>
  </cols>
  <sheetData>
    <row r="1" spans="2:15" ht="18.75">
      <c r="B1" s="30" t="s">
        <v>74</v>
      </c>
      <c r="C1" s="30"/>
      <c r="D1" s="30"/>
      <c r="E1" s="18"/>
      <c r="F1" s="18"/>
      <c r="G1" s="18"/>
      <c r="H1" s="18"/>
      <c r="I1" s="18"/>
      <c r="J1" s="18"/>
      <c r="K1" s="18"/>
      <c r="L1" s="18"/>
      <c r="M1" s="18"/>
      <c r="N1" s="18"/>
      <c r="O1" s="18"/>
    </row>
    <row r="2" spans="2:15" ht="18.75">
      <c r="B2" s="30" t="s">
        <v>86</v>
      </c>
      <c r="C2" s="18"/>
      <c r="D2" s="18"/>
      <c r="E2" s="18"/>
      <c r="F2" s="18"/>
      <c r="G2" s="18"/>
      <c r="H2" s="18"/>
      <c r="I2" s="18"/>
      <c r="J2" s="18"/>
      <c r="K2" s="18"/>
      <c r="L2" s="18"/>
      <c r="M2" s="18"/>
      <c r="N2" s="18"/>
      <c r="O2" s="18"/>
    </row>
    <row r="3" spans="2:15" ht="15">
      <c r="B3" s="18"/>
      <c r="C3" s="18"/>
      <c r="D3" s="18"/>
      <c r="E3" s="18"/>
      <c r="F3" s="18"/>
      <c r="G3" s="18"/>
      <c r="H3" s="18"/>
      <c r="I3" s="18"/>
      <c r="J3" s="18"/>
      <c r="K3" s="18"/>
      <c r="L3" s="18"/>
      <c r="M3" s="18"/>
      <c r="N3" s="18"/>
      <c r="O3" s="18"/>
    </row>
    <row r="4" spans="2:15" ht="15">
      <c r="B4" s="31" t="s">
        <v>52</v>
      </c>
      <c r="D4" s="33" t="s">
        <v>54</v>
      </c>
      <c r="E4" s="13">
        <f>'Data input'!$C$13</f>
        <v>42005</v>
      </c>
      <c r="F4" s="13">
        <f>E4+'Data input'!$C$15+1</f>
        <v>42371</v>
      </c>
      <c r="G4" s="13">
        <f>F4+'Data input'!$C$15+1</f>
        <v>42737</v>
      </c>
      <c r="H4" s="13">
        <f>G4+'Data input'!$C$15+1</f>
        <v>43103</v>
      </c>
      <c r="I4" s="13">
        <f>H4+'Data input'!$C$15+1</f>
        <v>43469</v>
      </c>
      <c r="J4" s="13">
        <f>I4+'Data input'!$C$15+1</f>
        <v>43835</v>
      </c>
      <c r="K4" s="13">
        <f>J4+'Data input'!$C$15+1</f>
        <v>44201</v>
      </c>
      <c r="L4" s="13">
        <f>K4+'Data input'!$C$15+1</f>
        <v>44567</v>
      </c>
      <c r="M4" s="13">
        <f>L4+'Data input'!$C$15+1</f>
        <v>44933</v>
      </c>
      <c r="N4" s="13">
        <f>M4+'Data input'!$C$15+1</f>
        <v>45299</v>
      </c>
      <c r="O4" s="13">
        <f>N4+'Data input'!$C$15+1</f>
        <v>45665</v>
      </c>
    </row>
    <row r="5" spans="4:15" ht="15">
      <c r="D5" s="31"/>
      <c r="E5" s="13">
        <f>E4+'Data input'!$C$15-1</f>
        <v>42369</v>
      </c>
      <c r="F5" s="13">
        <f>F4+'Data input'!$C$15-F6</f>
        <v>42735</v>
      </c>
      <c r="G5" s="13">
        <f>G4+'Data input'!$C$15-G6</f>
        <v>43100</v>
      </c>
      <c r="H5" s="13">
        <f>H4+'Data input'!$C$15-H6</f>
        <v>43465</v>
      </c>
      <c r="I5" s="13">
        <f>I4+'Data input'!$C$15-I6</f>
        <v>43830</v>
      </c>
      <c r="J5" s="13">
        <f>J4+'Data input'!$C$15-J6</f>
        <v>44195</v>
      </c>
      <c r="K5" s="13">
        <f>K4+'Data input'!$C$15-K6</f>
        <v>44560</v>
      </c>
      <c r="L5" s="13">
        <f>L4+'Data input'!$C$15-L6</f>
        <v>44925</v>
      </c>
      <c r="M5" s="13">
        <f>M4+'Data input'!$C$15-M6</f>
        <v>45290</v>
      </c>
      <c r="N5" s="13">
        <f>N4+'Data input'!$C$15-N6</f>
        <v>45655</v>
      </c>
      <c r="O5" s="13">
        <f>O4+'Data input'!$C$15-O6</f>
        <v>46020</v>
      </c>
    </row>
    <row r="6" spans="5:15" ht="15">
      <c r="E6">
        <v>0</v>
      </c>
      <c r="F6">
        <v>1</v>
      </c>
      <c r="G6">
        <v>2</v>
      </c>
      <c r="H6">
        <v>3</v>
      </c>
      <c r="I6">
        <v>4</v>
      </c>
      <c r="J6">
        <v>5</v>
      </c>
      <c r="K6">
        <v>6</v>
      </c>
      <c r="L6">
        <v>7</v>
      </c>
      <c r="M6">
        <v>8</v>
      </c>
      <c r="N6">
        <v>9</v>
      </c>
      <c r="O6">
        <v>10</v>
      </c>
    </row>
    <row r="7" spans="2:15" ht="15">
      <c r="B7" s="25" t="str">
        <f>Revenue!B13</f>
        <v>Tax Revenue</v>
      </c>
      <c r="C7" s="25">
        <f>Revenue!C13</f>
        <v>0</v>
      </c>
      <c r="D7" s="25">
        <f>Revenue!D13</f>
        <v>0</v>
      </c>
      <c r="E7" s="25">
        <f>Revenue!E13</f>
        <v>0</v>
      </c>
      <c r="F7" s="25">
        <f>Revenue!F13</f>
        <v>132321167.8832117</v>
      </c>
      <c r="G7" s="25">
        <f>Revenue!G13</f>
        <v>149919883.21167886</v>
      </c>
      <c r="H7" s="25">
        <f>Revenue!H13</f>
        <v>169859227.67883217</v>
      </c>
      <c r="I7" s="25">
        <f>Revenue!I13</f>
        <v>192450504.9601169</v>
      </c>
      <c r="J7" s="25">
        <f>Revenue!J13</f>
        <v>208135221.11436647</v>
      </c>
      <c r="K7" s="25">
        <f>Revenue!K13</f>
        <v>225098241.63518733</v>
      </c>
      <c r="L7" s="25">
        <f>Revenue!L13</f>
        <v>243443748.32845515</v>
      </c>
      <c r="M7" s="25">
        <f>Revenue!M13</f>
        <v>263284413.81722426</v>
      </c>
      <c r="N7" s="25">
        <f>Revenue!N13</f>
        <v>284742093.54332805</v>
      </c>
      <c r="O7" s="25">
        <f>Revenue!O13</f>
        <v>307948574.16710925</v>
      </c>
    </row>
    <row r="8" spans="2:15" ht="15">
      <c r="B8" s="25" t="str">
        <f>Revenue!B14</f>
        <v>Transaction fees</v>
      </c>
      <c r="C8" s="25">
        <f>Revenue!C14</f>
        <v>0</v>
      </c>
      <c r="D8" s="25">
        <f>Revenue!D14</f>
        <v>0</v>
      </c>
      <c r="E8" s="25">
        <f>Revenue!E14</f>
        <v>0</v>
      </c>
      <c r="F8" s="25">
        <f>Revenue!F14</f>
        <v>26464233.576642342</v>
      </c>
      <c r="G8" s="25">
        <f>Revenue!G14</f>
        <v>29983976.642335773</v>
      </c>
      <c r="H8" s="25">
        <f>Revenue!H14</f>
        <v>33971845.53576644</v>
      </c>
      <c r="I8" s="25">
        <f>Revenue!I14</f>
        <v>38490100.99202338</v>
      </c>
      <c r="J8" s="25">
        <f>Revenue!J14</f>
        <v>41627044.2228733</v>
      </c>
      <c r="K8" s="25">
        <f>Revenue!K14</f>
        <v>45019648.32703747</v>
      </c>
      <c r="L8" s="25">
        <f>Revenue!L14</f>
        <v>48688749.66569103</v>
      </c>
      <c r="M8" s="25">
        <f>Revenue!M14</f>
        <v>52656882.763444856</v>
      </c>
      <c r="N8" s="25">
        <f>Revenue!N14</f>
        <v>56948418.70866561</v>
      </c>
      <c r="O8" s="25">
        <f>Revenue!O14</f>
        <v>61589714.833421856</v>
      </c>
    </row>
    <row r="9" spans="2:15" ht="15">
      <c r="B9" s="25" t="s">
        <v>122</v>
      </c>
      <c r="C9" s="25"/>
      <c r="D9" s="25"/>
      <c r="E9" s="25"/>
      <c r="F9" s="25">
        <f>(('Balance sheet'!E15+'Balance sheet'!F15)/2)*'Data input'!$C$6</f>
        <v>48508.19237090033</v>
      </c>
      <c r="G9" s="25">
        <f>(('Balance sheet'!F15+'Balance sheet'!G15)/2)*'Data input'!$C$6</f>
        <v>160572.2487300589</v>
      </c>
      <c r="H9" s="25">
        <f>(('Balance sheet'!G15+'Balance sheet'!H15)/2)*'Data input'!$C$6</f>
        <v>311949.092588343</v>
      </c>
      <c r="I9" s="25">
        <f>(('Balance sheet'!H15+'Balance sheet'!I15)/2)*'Data input'!$C$6</f>
        <v>515155.5560136529</v>
      </c>
      <c r="J9" s="25">
        <f>(('Balance sheet'!I15+'Balance sheet'!J15)/2)*'Data input'!$C$6</f>
        <v>764776.1825404589</v>
      </c>
      <c r="K9" s="25">
        <f>(('Balance sheet'!J15+'Balance sheet'!K15)/2)*'Data input'!$C$6</f>
        <v>1136087.946569411</v>
      </c>
      <c r="L9" s="25">
        <f>(('Balance sheet'!K15+'Balance sheet'!L15)/2)*'Data input'!$C$6</f>
        <v>1633396.746595239</v>
      </c>
      <c r="M9" s="25">
        <f>(('Balance sheet'!L15+'Balance sheet'!M15)/2)*'Data input'!$C$6</f>
        <v>2178870.9222960486</v>
      </c>
      <c r="N9" s="25">
        <f>(('Balance sheet'!M15+'Balance sheet'!N15)/2)*'Data input'!$C$6</f>
        <v>2816068.4479671344</v>
      </c>
      <c r="O9" s="25">
        <f>(('Balance sheet'!N15+'Balance sheet'!O15)/2)*'Data input'!$C$6</f>
        <v>3549445.207674549</v>
      </c>
    </row>
    <row r="10" spans="2:15" ht="15">
      <c r="B10" s="44" t="str">
        <f>Revenue!B16</f>
        <v>Total Revenue</v>
      </c>
      <c r="C10" s="44">
        <f>Revenue!C16</f>
        <v>0</v>
      </c>
      <c r="D10" s="44">
        <f>Revenue!D16</f>
        <v>0</v>
      </c>
      <c r="E10" s="44">
        <f>Revenue!E16</f>
        <v>0</v>
      </c>
      <c r="F10" s="44">
        <f>SUM(F7:F9)</f>
        <v>158833909.65222493</v>
      </c>
      <c r="G10" s="44">
        <f>SUM(G7:G9)</f>
        <v>180064432.1027447</v>
      </c>
      <c r="H10" s="44">
        <f aca="true" t="shared" si="0" ref="H10:O10">SUM(H7:H9)</f>
        <v>204143022.30718693</v>
      </c>
      <c r="I10" s="44">
        <f t="shared" si="0"/>
        <v>231455761.50815392</v>
      </c>
      <c r="J10" s="44">
        <f t="shared" si="0"/>
        <v>250527041.51978022</v>
      </c>
      <c r="K10" s="44">
        <f t="shared" si="0"/>
        <v>271253977.90879416</v>
      </c>
      <c r="L10" s="44">
        <f t="shared" si="0"/>
        <v>293765894.74074143</v>
      </c>
      <c r="M10" s="44">
        <f t="shared" si="0"/>
        <v>318120167.50296515</v>
      </c>
      <c r="N10" s="44">
        <f t="shared" si="0"/>
        <v>344506580.69996077</v>
      </c>
      <c r="O10" s="44">
        <f t="shared" si="0"/>
        <v>373087734.20820564</v>
      </c>
    </row>
    <row r="11" spans="2:15" ht="15">
      <c r="B11" s="44" t="s">
        <v>109</v>
      </c>
      <c r="C11" s="44"/>
      <c r="D11" s="44"/>
      <c r="E11" s="44"/>
      <c r="F11" s="44">
        <f>F10*'Data input'!$C$33</f>
        <v>142950518.68700245</v>
      </c>
      <c r="G11" s="44">
        <f>G10*'Data input'!$C$33</f>
        <v>162057988.89247024</v>
      </c>
      <c r="H11" s="44">
        <f>H10*'Data input'!$C$33</f>
        <v>183728720.07646823</v>
      </c>
      <c r="I11" s="44">
        <f>I10*'Data input'!$C$33</f>
        <v>208310185.35733852</v>
      </c>
      <c r="J11" s="44">
        <f>J10*'Data input'!$C$33</f>
        <v>225474337.3678022</v>
      </c>
      <c r="K11" s="44">
        <f>K10*'Data input'!$C$33</f>
        <v>244128580.11791477</v>
      </c>
      <c r="L11" s="44">
        <f>L10*'Data input'!$C$33</f>
        <v>264389305.2666673</v>
      </c>
      <c r="M11" s="44">
        <f>M10*'Data input'!$C$33</f>
        <v>286308150.7526686</v>
      </c>
      <c r="N11" s="44">
        <f>N10*'Data input'!$C$33</f>
        <v>310055922.6299647</v>
      </c>
      <c r="O11" s="44">
        <f>O10*'Data input'!$C$33</f>
        <v>335778960.7873851</v>
      </c>
    </row>
    <row r="12" spans="2:15" ht="15">
      <c r="B12" s="44"/>
      <c r="C12" s="44"/>
      <c r="D12" s="44"/>
      <c r="E12" s="44"/>
      <c r="F12" s="44"/>
      <c r="G12" s="44"/>
      <c r="H12" s="44"/>
      <c r="I12" s="44"/>
      <c r="J12" s="44"/>
      <c r="K12" s="44"/>
      <c r="L12" s="44"/>
      <c r="M12" s="44"/>
      <c r="N12" s="44"/>
      <c r="O12" s="44"/>
    </row>
    <row r="13" spans="2:15" ht="15">
      <c r="B13" s="40" t="s">
        <v>108</v>
      </c>
      <c r="C13" s="40"/>
      <c r="D13" s="40"/>
      <c r="E13" s="40"/>
      <c r="F13" s="47">
        <f>'Data input'!$C$32*'P &amp; L'!F10</f>
        <v>15883390.965222493</v>
      </c>
      <c r="G13" s="47">
        <f>'Data input'!$C$32*'P &amp; L'!G10</f>
        <v>18006443.21027447</v>
      </c>
      <c r="H13" s="47">
        <f>'Data input'!$C$32*'P &amp; L'!H10</f>
        <v>20414302.230718695</v>
      </c>
      <c r="I13" s="47">
        <f>'Data input'!$C$32*'P &amp; L'!I10</f>
        <v>23145576.150815394</v>
      </c>
      <c r="J13" s="47">
        <f>'Data input'!$C$32*'P &amp; L'!J10</f>
        <v>25052704.151978023</v>
      </c>
      <c r="K13" s="47">
        <f>'Data input'!$C$32*'P &amp; L'!K10</f>
        <v>27125397.790879417</v>
      </c>
      <c r="L13" s="47">
        <f>'Data input'!$C$32*'P &amp; L'!L10</f>
        <v>29376589.474074144</v>
      </c>
      <c r="M13" s="47">
        <f>'Data input'!$C$32*'P &amp; L'!M10</f>
        <v>31812016.75029652</v>
      </c>
      <c r="N13" s="47">
        <f>'Data input'!$C$32*'P &amp; L'!N10</f>
        <v>34450658.06999608</v>
      </c>
      <c r="O13" s="47">
        <f>'Data input'!$C$32*'P &amp; L'!O10</f>
        <v>37308773.420820564</v>
      </c>
    </row>
    <row r="14" ht="15">
      <c r="B14" t="s">
        <v>87</v>
      </c>
    </row>
    <row r="15" spans="2:15" ht="15">
      <c r="B15" s="25" t="str">
        <f>Opex!B7</f>
        <v>O &amp; M expenses</v>
      </c>
      <c r="C15" s="25">
        <f>Opex!C7</f>
        <v>0</v>
      </c>
      <c r="D15" s="25">
        <f>Opex!D7</f>
        <v>0</v>
      </c>
      <c r="E15" s="25">
        <f>Opex!E7</f>
        <v>0</v>
      </c>
      <c r="F15" s="25">
        <f>Opex!F7</f>
        <v>3969635.036496351</v>
      </c>
      <c r="G15" s="25">
        <f>Opex!G7</f>
        <v>4497596.496350366</v>
      </c>
      <c r="H15" s="25">
        <f>Opex!H7</f>
        <v>5095776.830364965</v>
      </c>
      <c r="I15" s="25">
        <f>Opex!I7</f>
        <v>5773515.148803507</v>
      </c>
      <c r="J15" s="25">
        <f>Opex!J7</f>
        <v>6244056.633430995</v>
      </c>
      <c r="K15" s="25">
        <f>Opex!K7</f>
        <v>6752947.24905562</v>
      </c>
      <c r="L15" s="25">
        <f>Opex!L7</f>
        <v>7303312.449853655</v>
      </c>
      <c r="M15" s="25">
        <f>Opex!M7</f>
        <v>7898532.414516728</v>
      </c>
      <c r="N15" s="25">
        <f>Opex!N7</f>
        <v>8542262.806299841</v>
      </c>
      <c r="O15" s="25">
        <f>Opex!O7</f>
        <v>9238457.225013277</v>
      </c>
    </row>
    <row r="16" spans="2:15" ht="15">
      <c r="B16" s="25" t="s">
        <v>65</v>
      </c>
      <c r="C16" s="25"/>
      <c r="D16" s="25"/>
      <c r="E16" s="25"/>
      <c r="F16" s="25">
        <f>+Depreciation!F12</f>
        <v>2485000</v>
      </c>
      <c r="G16" s="25">
        <f>+Depreciation!G12</f>
        <v>2485000</v>
      </c>
      <c r="H16" s="25">
        <f>+Depreciation!H12</f>
        <v>2485000</v>
      </c>
      <c r="I16" s="25">
        <f>+Depreciation!I12</f>
        <v>2485000</v>
      </c>
      <c r="J16" s="25">
        <f>+Depreciation!J12</f>
        <v>2485000</v>
      </c>
      <c r="K16" s="25">
        <f>+Depreciation!K12</f>
        <v>2668899.092339896</v>
      </c>
      <c r="L16" s="25">
        <f>+Depreciation!L12</f>
        <v>2668899.092339896</v>
      </c>
      <c r="M16" s="25">
        <f>+Depreciation!M12</f>
        <v>2668899.092339896</v>
      </c>
      <c r="N16" s="25">
        <f>+Depreciation!N12</f>
        <v>2668899.092339896</v>
      </c>
      <c r="O16" s="25">
        <f>+Depreciation!O12</f>
        <v>2668899.092339896</v>
      </c>
    </row>
    <row r="17" spans="2:15" ht="15">
      <c r="B17" s="47" t="s">
        <v>110</v>
      </c>
      <c r="C17" s="47"/>
      <c r="D17" s="47"/>
      <c r="E17" s="47"/>
      <c r="F17" s="47">
        <f>F13-F15-F16</f>
        <v>9428755.928726142</v>
      </c>
      <c r="G17" s="47">
        <f aca="true" t="shared" si="1" ref="G17:O17">G13-G15-G16</f>
        <v>11023846.713924102</v>
      </c>
      <c r="H17" s="47">
        <f t="shared" si="1"/>
        <v>12833525.40035373</v>
      </c>
      <c r="I17" s="47">
        <f t="shared" si="1"/>
        <v>14887061.002011888</v>
      </c>
      <c r="J17" s="47">
        <f t="shared" si="1"/>
        <v>16323647.518547028</v>
      </c>
      <c r="K17" s="47">
        <f t="shared" si="1"/>
        <v>17703551.4494839</v>
      </c>
      <c r="L17" s="47">
        <f t="shared" si="1"/>
        <v>19404377.931880593</v>
      </c>
      <c r="M17" s="47">
        <f t="shared" si="1"/>
        <v>21244585.243439894</v>
      </c>
      <c r="N17" s="47">
        <f t="shared" si="1"/>
        <v>23239496.171356343</v>
      </c>
      <c r="O17" s="25">
        <f t="shared" si="1"/>
        <v>25401417.10346739</v>
      </c>
    </row>
    <row r="18" spans="2:15" ht="15">
      <c r="B18" s="25" t="str">
        <f>Opex!B8</f>
        <v>Fixed fee</v>
      </c>
      <c r="C18" s="25">
        <f>Opex!C8</f>
        <v>0</v>
      </c>
      <c r="D18" s="25">
        <f>Opex!D8</f>
        <v>0</v>
      </c>
      <c r="E18" s="25">
        <f>Opex!E8</f>
        <v>0</v>
      </c>
      <c r="F18" s="25">
        <f>Opex!F8</f>
        <v>4763562.043795621</v>
      </c>
      <c r="G18" s="25">
        <f>Opex!G8</f>
        <v>5397115.795620439</v>
      </c>
      <c r="H18" s="25">
        <f>Opex!H8</f>
        <v>6114932.196437958</v>
      </c>
      <c r="I18" s="25">
        <f>Opex!I8</f>
        <v>6928218.178564208</v>
      </c>
      <c r="J18" s="25">
        <f>Opex!J8</f>
        <v>7492867.960117193</v>
      </c>
      <c r="K18" s="25">
        <f>Opex!K8</f>
        <v>8103536.698866744</v>
      </c>
      <c r="L18" s="25">
        <f>Opex!L8</f>
        <v>8763974.939824386</v>
      </c>
      <c r="M18" s="25">
        <f>Opex!M8</f>
        <v>9478238.897420073</v>
      </c>
      <c r="N18" s="25">
        <f>Opex!N8</f>
        <v>10250715.36755981</v>
      </c>
      <c r="O18" s="25">
        <f>Opex!O8</f>
        <v>11086148.670015931</v>
      </c>
    </row>
    <row r="19" spans="2:15" ht="15">
      <c r="B19" s="25" t="str">
        <f>Opex!B9</f>
        <v>Incentive based</v>
      </c>
      <c r="C19" s="25">
        <f>Opex!C9</f>
        <v>0</v>
      </c>
      <c r="D19" s="25">
        <f>Opex!D9</f>
        <v>0</v>
      </c>
      <c r="E19" s="25">
        <f>Opex!E9</f>
        <v>0</v>
      </c>
      <c r="F19" s="25">
        <f>F17*'Data input'!$C$36</f>
        <v>660012.91501083</v>
      </c>
      <c r="G19" s="25">
        <f>G17*'Data input'!$C$36</f>
        <v>771669.2699746873</v>
      </c>
      <c r="H19" s="25">
        <f>H17*'Data input'!$C$36</f>
        <v>898346.7780247611</v>
      </c>
      <c r="I19" s="25">
        <f>I17*'Data input'!$C$36</f>
        <v>1042094.2701408323</v>
      </c>
      <c r="J19" s="25">
        <f>J17*'Data input'!$C$36</f>
        <v>1142655.326298292</v>
      </c>
      <c r="K19" s="25">
        <f>K17*'Data input'!$C$36</f>
        <v>1239248.6014638732</v>
      </c>
      <c r="L19" s="25">
        <f>L17*'Data input'!$C$36</f>
        <v>1358306.4552316417</v>
      </c>
      <c r="M19" s="25">
        <f>M17*'Data input'!$C$36</f>
        <v>1487120.9670407928</v>
      </c>
      <c r="N19" s="25">
        <f>N17*'Data input'!$C$36</f>
        <v>1626764.7319949442</v>
      </c>
      <c r="O19" s="25">
        <f>O17*'Data input'!$C$36</f>
        <v>1778099.1972427175</v>
      </c>
    </row>
    <row r="20" spans="2:15" ht="15">
      <c r="B20" t="s">
        <v>45</v>
      </c>
      <c r="F20" s="25">
        <f>'Financing '!F16</f>
        <v>1834800</v>
      </c>
      <c r="G20" s="25">
        <f>'Financing '!G16</f>
        <v>1534264.3822378013</v>
      </c>
      <c r="H20" s="25">
        <f>'Financing '!H16</f>
        <v>1203675.202699383</v>
      </c>
      <c r="I20" s="25">
        <f>'Financing '!I16</f>
        <v>840027.1052071227</v>
      </c>
      <c r="J20" s="25">
        <f>'Financing '!J16</f>
        <v>440014.1979656364</v>
      </c>
      <c r="K20" s="25">
        <f>'Financing '!K16</f>
        <v>393559.6369359585</v>
      </c>
      <c r="L20" s="25">
        <f>'Financing '!L16</f>
        <v>274659.44450817804</v>
      </c>
      <c r="M20" s="25">
        <f>'Financing '!M16</f>
        <v>143869.2328376181</v>
      </c>
      <c r="N20" s="25">
        <f>'Financing '!N16</f>
        <v>2.1653249859809877E-09</v>
      </c>
      <c r="O20" s="25">
        <v>0</v>
      </c>
    </row>
    <row r="21" spans="2:15" ht="15">
      <c r="B21" s="17" t="s">
        <v>88</v>
      </c>
      <c r="C21" s="17"/>
      <c r="D21" s="17"/>
      <c r="E21" s="17"/>
      <c r="F21" s="45">
        <f>F17-F18-F19-F20</f>
        <v>2170380.9699196913</v>
      </c>
      <c r="G21" s="45">
        <f aca="true" t="shared" si="2" ref="G21:O21">G17-G18-G19-G20</f>
        <v>3320797.2660911754</v>
      </c>
      <c r="H21" s="45">
        <f t="shared" si="2"/>
        <v>4616571.223191628</v>
      </c>
      <c r="I21" s="45">
        <f t="shared" si="2"/>
        <v>6076721.448099726</v>
      </c>
      <c r="J21" s="45">
        <f t="shared" si="2"/>
        <v>7248110.034165909</v>
      </c>
      <c r="K21" s="45">
        <f t="shared" si="2"/>
        <v>7967206.512217326</v>
      </c>
      <c r="L21" s="45">
        <f t="shared" si="2"/>
        <v>9007437.09231639</v>
      </c>
      <c r="M21" s="45">
        <f t="shared" si="2"/>
        <v>10135356.146141414</v>
      </c>
      <c r="N21" s="45">
        <f t="shared" si="2"/>
        <v>11362016.07180159</v>
      </c>
      <c r="O21" s="45">
        <f t="shared" si="2"/>
        <v>12537169.23620874</v>
      </c>
    </row>
    <row r="22" spans="2:6" ht="15">
      <c r="B22" s="25"/>
      <c r="F22" s="25"/>
    </row>
    <row r="23" ht="15">
      <c r="E23">
        <f>+F13*0.1</f>
        <v>1588339.0965222493</v>
      </c>
    </row>
    <row r="24" ht="15">
      <c r="F24" s="36">
        <f>+F13-F15-F18-F19</f>
        <v>6490180.969919691</v>
      </c>
    </row>
  </sheetData>
  <sheetProtection/>
  <printOptions/>
  <pageMargins left="0.7" right="0.7" top="0.75" bottom="0.75" header="0.3" footer="0.3"/>
  <pageSetup fitToHeight="1"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Mwala</dc:creator>
  <cp:keywords/>
  <dc:description/>
  <cp:lastModifiedBy>User</cp:lastModifiedBy>
  <cp:lastPrinted>2014-08-25T14:29:40Z</cp:lastPrinted>
  <dcterms:created xsi:type="dcterms:W3CDTF">2014-08-06T09:49:18Z</dcterms:created>
  <dcterms:modified xsi:type="dcterms:W3CDTF">2014-09-25T09:26:54Z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